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3.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4.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14.xml" ContentType="application/vnd.openxmlformats-officedocument.drawingml.chart+xml"/>
  <Override PartName="/xl/drawings/drawing16.xml" ContentType="application/vnd.openxmlformats-officedocument.drawingml.chartshapes+xml"/>
  <Override PartName="/xl/charts/chart15.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harts/chart16.xml" ContentType="application/vnd.openxmlformats-officedocument.drawingml.chart+xml"/>
  <Override PartName="/xl/drawings/drawing19.xml" ContentType="application/vnd.openxmlformats-officedocument.drawingml.chartshapes+xml"/>
  <Override PartName="/xl/charts/chart17.xml" ContentType="application/vnd.openxmlformats-officedocument.drawingml.chart+xml"/>
  <Override PartName="/xl/drawings/drawing20.xml" ContentType="application/vnd.openxmlformats-officedocument.drawingml.chartshapes+xml"/>
  <Override PartName="/xl/charts/chart18.xml" ContentType="application/vnd.openxmlformats-officedocument.drawingml.chart+xml"/>
  <Override PartName="/xl/drawings/drawing21.xml" ContentType="application/vnd.openxmlformats-officedocument.drawingml.chartshapes+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S:\Recycle\Programs\Cleanups\ClkRvrCleanUp\"/>
    </mc:Choice>
  </mc:AlternateContent>
  <xr:revisionPtr revIDLastSave="0" documentId="13_ncr:1_{FC580858-3F4B-4C43-ACC0-51BEB8C052A8}" xr6:coauthVersionLast="47" xr6:coauthVersionMax="47" xr10:uidLastSave="{00000000-0000-0000-0000-000000000000}"/>
  <bookViews>
    <workbookView xWindow="-108" yWindow="-108" windowWidth="23256" windowHeight="13896" activeTab="4" xr2:uid="{00000000-000D-0000-FFFF-FFFF00000000}"/>
  </bookViews>
  <sheets>
    <sheet name="SummaryAllYears" sheetId="14" r:id="rId1"/>
    <sheet name="TonsPerParkByYear" sheetId="22" r:id="rId2"/>
    <sheet name="Delivd2KB" sheetId="23" r:id="rId3"/>
    <sheet name="MatlCollected" sheetId="24" r:id="rId4"/>
    <sheet name="2025 Summary" sheetId="25" r:id="rId5"/>
    <sheet name="2024 Summ" sheetId="21" r:id="rId6"/>
    <sheet name="2023 Summ" sheetId="20" r:id="rId7"/>
    <sheet name="2022 Summ" sheetId="19" r:id="rId8"/>
    <sheet name="2021 Summ" sheetId="17" r:id="rId9"/>
    <sheet name="2019 Summ" sheetId="16" r:id="rId10"/>
    <sheet name="2018 Summ" sheetId="15" r:id="rId11"/>
    <sheet name="2017 Summ" sheetId="13" r:id="rId12"/>
    <sheet name="2016 Summ" sheetId="12" r:id="rId13"/>
    <sheet name="2015 Summ" sheetId="7" r:id="rId14"/>
    <sheet name="2014 Summ" sheetId="6" r:id="rId15"/>
    <sheet name="Sheet2" sheetId="26" r:id="rId16"/>
    <sheet name="2013 Summ " sheetId="5" r:id="rId17"/>
    <sheet name="2012 Summ" sheetId="2" r:id="rId18"/>
    <sheet name="2011 Summ" sheetId="1" r:id="rId19"/>
  </sheets>
  <externalReferences>
    <externalReference r:id="rId20"/>
    <externalReference r:id="rId21"/>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9" i="25" l="1"/>
  <c r="C24" i="25"/>
  <c r="A19" i="25"/>
  <c r="C19" i="25" s="1"/>
  <c r="A18" i="25"/>
  <c r="A13" i="25"/>
  <c r="C13" i="25" s="1"/>
  <c r="J12" i="25"/>
  <c r="N12" i="25" s="1"/>
  <c r="M11" i="25"/>
  <c r="M13" i="25" s="1"/>
  <c r="L13" i="25"/>
  <c r="K13" i="25"/>
  <c r="J13" i="25"/>
  <c r="N10" i="25"/>
  <c r="N9" i="25"/>
  <c r="N8" i="25"/>
  <c r="J21" i="25" s="1"/>
  <c r="A8" i="25"/>
  <c r="N7" i="25"/>
  <c r="C33" i="25" s="1"/>
  <c r="N6" i="25"/>
  <c r="J20" i="25" s="1"/>
  <c r="C6" i="25"/>
  <c r="N5" i="25"/>
  <c r="A14" i="25" s="1"/>
  <c r="C14" i="25" s="1"/>
  <c r="T4" i="25"/>
  <c r="N4" i="25"/>
  <c r="C30" i="25" s="1"/>
  <c r="N3" i="25"/>
  <c r="J17" i="25" s="1"/>
  <c r="O2" i="25"/>
  <c r="N2" i="25"/>
  <c r="C33" i="21"/>
  <c r="G29" i="21"/>
  <c r="C24" i="21"/>
  <c r="A19" i="21"/>
  <c r="C19" i="21" s="1"/>
  <c r="A13" i="21"/>
  <c r="C13" i="21" s="1"/>
  <c r="M11" i="21"/>
  <c r="L11" i="21"/>
  <c r="K11" i="21"/>
  <c r="J11" i="21"/>
  <c r="N10" i="21"/>
  <c r="N9" i="21"/>
  <c r="A18" i="21" s="1"/>
  <c r="N8" i="21"/>
  <c r="A17" i="21" s="1"/>
  <c r="C17" i="21" s="1"/>
  <c r="A8" i="21"/>
  <c r="A11" i="21" s="1"/>
  <c r="C11" i="21" s="1"/>
  <c r="N7" i="21"/>
  <c r="A16" i="21" s="1"/>
  <c r="C16" i="21" s="1"/>
  <c r="N6" i="21"/>
  <c r="C32" i="21" s="1"/>
  <c r="C6" i="21"/>
  <c r="N5" i="21"/>
  <c r="C31" i="21" s="1"/>
  <c r="C5" i="21"/>
  <c r="T4" i="21"/>
  <c r="N4" i="21"/>
  <c r="J18" i="21" s="1"/>
  <c r="C4" i="21"/>
  <c r="N3" i="21"/>
  <c r="J17" i="21" s="1"/>
  <c r="C3" i="21"/>
  <c r="O2" i="21"/>
  <c r="J12" i="21"/>
  <c r="C8" i="25" l="1"/>
  <c r="J18" i="25"/>
  <c r="J19" i="25"/>
  <c r="C31" i="25"/>
  <c r="A12" i="25"/>
  <c r="C12" i="25" s="1"/>
  <c r="C29" i="25"/>
  <c r="N15" i="25"/>
  <c r="J22" i="25"/>
  <c r="C35" i="25"/>
  <c r="N11" i="25"/>
  <c r="N13" i="25" s="1"/>
  <c r="N14" i="25"/>
  <c r="A15" i="25"/>
  <c r="C15" i="25" s="1"/>
  <c r="C32" i="25"/>
  <c r="A11" i="25"/>
  <c r="C11" i="25" s="1"/>
  <c r="A16" i="25"/>
  <c r="C16" i="25" s="1"/>
  <c r="C34" i="25"/>
  <c r="A17" i="25"/>
  <c r="C17" i="25" s="1"/>
  <c r="C8" i="21"/>
  <c r="N11" i="21"/>
  <c r="A15" i="21"/>
  <c r="C15" i="21" s="1"/>
  <c r="J20" i="21"/>
  <c r="A14" i="21"/>
  <c r="C14" i="21" s="1"/>
  <c r="J19" i="21"/>
  <c r="C34" i="21"/>
  <c r="J21" i="21"/>
  <c r="C29" i="21"/>
  <c r="A12" i="21"/>
  <c r="L13" i="21"/>
  <c r="C30" i="21"/>
  <c r="M13" i="21"/>
  <c r="N12" i="21"/>
  <c r="J22" i="21" s="1"/>
  <c r="J13" i="21"/>
  <c r="N2" i="21"/>
  <c r="K13" i="21"/>
  <c r="A19" i="20"/>
  <c r="C19" i="20" s="1"/>
  <c r="L11" i="20"/>
  <c r="G29" i="20"/>
  <c r="N10" i="20"/>
  <c r="A20" i="25" l="1"/>
  <c r="C35" i="21"/>
  <c r="C12" i="21"/>
  <c r="A20" i="21"/>
  <c r="N14" i="21"/>
  <c r="N13" i="21"/>
  <c r="N15" i="21"/>
  <c r="M11" i="20"/>
  <c r="K11" i="20"/>
  <c r="J11" i="20"/>
  <c r="N9" i="20"/>
  <c r="A18" i="20" s="1"/>
  <c r="N8" i="20"/>
  <c r="A8" i="20"/>
  <c r="N7" i="20"/>
  <c r="N6" i="20"/>
  <c r="C6" i="20"/>
  <c r="N5" i="20"/>
  <c r="C5" i="20"/>
  <c r="T4" i="20"/>
  <c r="N4" i="20"/>
  <c r="C4" i="20"/>
  <c r="N3" i="20"/>
  <c r="C3" i="20"/>
  <c r="O2" i="20"/>
  <c r="M2" i="20"/>
  <c r="M12" i="20" s="1"/>
  <c r="L2" i="20"/>
  <c r="L12" i="20" s="1"/>
  <c r="K2" i="20"/>
  <c r="K12" i="20" s="1"/>
  <c r="J2" i="20"/>
  <c r="J12" i="20" s="1"/>
  <c r="C37" i="25" l="1"/>
  <c r="C20" i="25"/>
  <c r="A25" i="25"/>
  <c r="A21" i="25"/>
  <c r="C37" i="21"/>
  <c r="A25" i="21"/>
  <c r="C20" i="21"/>
  <c r="A21" i="21"/>
  <c r="A11" i="20"/>
  <c r="J18" i="20"/>
  <c r="A13" i="20"/>
  <c r="C13" i="20" s="1"/>
  <c r="C31" i="20"/>
  <c r="A14" i="20"/>
  <c r="C14" i="20" s="1"/>
  <c r="M13" i="20"/>
  <c r="J21" i="20"/>
  <c r="A17" i="20"/>
  <c r="C17" i="20" s="1"/>
  <c r="C33" i="20"/>
  <c r="A16" i="20"/>
  <c r="C16" i="20" s="1"/>
  <c r="C32" i="20"/>
  <c r="A15" i="20"/>
  <c r="C15" i="20" s="1"/>
  <c r="C29" i="20"/>
  <c r="A12" i="20"/>
  <c r="J19" i="20"/>
  <c r="C34" i="20"/>
  <c r="L13" i="20"/>
  <c r="J20" i="20"/>
  <c r="N12" i="20"/>
  <c r="C35" i="20" s="1"/>
  <c r="C30" i="20"/>
  <c r="J13" i="20"/>
  <c r="C8" i="20"/>
  <c r="K13" i="20"/>
  <c r="C11" i="20"/>
  <c r="N2" i="20"/>
  <c r="N11" i="20"/>
  <c r="J17" i="20"/>
  <c r="K11" i="19"/>
  <c r="J11" i="19"/>
  <c r="M10" i="19"/>
  <c r="L10" i="19"/>
  <c r="K10" i="19"/>
  <c r="J10" i="19"/>
  <c r="N9" i="19"/>
  <c r="A17" i="19" s="1"/>
  <c r="N8" i="19"/>
  <c r="J21" i="19" s="1"/>
  <c r="A8" i="19"/>
  <c r="A10" i="19" s="1"/>
  <c r="N7" i="19"/>
  <c r="A15" i="19" s="1"/>
  <c r="N6" i="19"/>
  <c r="C30" i="19" s="1"/>
  <c r="C6" i="19"/>
  <c r="N5" i="19"/>
  <c r="C29" i="19" s="1"/>
  <c r="C5" i="19"/>
  <c r="T4" i="19"/>
  <c r="N4" i="19"/>
  <c r="J18" i="19" s="1"/>
  <c r="C4" i="19"/>
  <c r="N3" i="19"/>
  <c r="A11" i="19" s="1"/>
  <c r="C3" i="19"/>
  <c r="O2" i="19"/>
  <c r="M2" i="19"/>
  <c r="M11" i="19" s="1"/>
  <c r="L2" i="19"/>
  <c r="L11" i="19" s="1"/>
  <c r="K2" i="19"/>
  <c r="J2" i="19"/>
  <c r="C38" i="25" l="1"/>
  <c r="C21" i="25"/>
  <c r="C38" i="21"/>
  <c r="C21" i="21"/>
  <c r="A20" i="20"/>
  <c r="A21" i="20" s="1"/>
  <c r="C21" i="20" s="1"/>
  <c r="C12" i="20"/>
  <c r="J22" i="20"/>
  <c r="N15" i="20"/>
  <c r="N14" i="20"/>
  <c r="N13" i="20"/>
  <c r="N11" i="19"/>
  <c r="J22" i="19" s="1"/>
  <c r="L12" i="19"/>
  <c r="J17" i="19"/>
  <c r="J19" i="19"/>
  <c r="C27" i="19"/>
  <c r="A13" i="19"/>
  <c r="C31" i="19"/>
  <c r="C28" i="19"/>
  <c r="C8" i="19"/>
  <c r="M12" i="19"/>
  <c r="K12" i="19"/>
  <c r="J12" i="19"/>
  <c r="C33" i="19"/>
  <c r="C10" i="19"/>
  <c r="N10" i="19"/>
  <c r="C32" i="19"/>
  <c r="N2" i="19"/>
  <c r="A16" i="19"/>
  <c r="J20" i="19"/>
  <c r="A12" i="19"/>
  <c r="A14" i="19"/>
  <c r="L10" i="17"/>
  <c r="C37" i="20" l="1"/>
  <c r="A25" i="20"/>
  <c r="C20" i="20"/>
  <c r="A18" i="19"/>
  <c r="C35" i="19" s="1"/>
  <c r="N13" i="19"/>
  <c r="N14" i="19"/>
  <c r="N12" i="19"/>
  <c r="A8" i="17"/>
  <c r="A10" i="17" s="1"/>
  <c r="C10" i="17" s="1"/>
  <c r="N3" i="17"/>
  <c r="A11" i="17"/>
  <c r="N4" i="17"/>
  <c r="N5" i="17"/>
  <c r="N6" i="17"/>
  <c r="A14" i="17" s="1"/>
  <c r="N7" i="17"/>
  <c r="C31" i="17" s="1"/>
  <c r="A15" i="17"/>
  <c r="N8" i="17"/>
  <c r="A16" i="17" s="1"/>
  <c r="N9" i="17"/>
  <c r="A17" i="17"/>
  <c r="J2" i="17"/>
  <c r="J11" i="17" s="1"/>
  <c r="K2" i="17"/>
  <c r="L2" i="17"/>
  <c r="L12" i="17" s="1"/>
  <c r="L11" i="17"/>
  <c r="M2" i="17"/>
  <c r="M11" i="17" s="1"/>
  <c r="J10" i="17"/>
  <c r="K10" i="17"/>
  <c r="K12" i="17" s="1"/>
  <c r="M10" i="17"/>
  <c r="C3" i="17"/>
  <c r="C4" i="17"/>
  <c r="C5" i="17"/>
  <c r="C6" i="17"/>
  <c r="T4" i="17"/>
  <c r="O2" i="17"/>
  <c r="T4" i="16"/>
  <c r="L2" i="16"/>
  <c r="L11" i="16" s="1"/>
  <c r="O2" i="16"/>
  <c r="A12" i="16"/>
  <c r="M10" i="16"/>
  <c r="K10" i="16"/>
  <c r="K12" i="16"/>
  <c r="J10" i="16"/>
  <c r="J12" i="16" s="1"/>
  <c r="N9" i="16"/>
  <c r="A17" i="16"/>
  <c r="N8" i="16"/>
  <c r="C32" i="16" s="1"/>
  <c r="A16" i="16"/>
  <c r="N7" i="16"/>
  <c r="A15" i="16" s="1"/>
  <c r="C31" i="16"/>
  <c r="N6" i="16"/>
  <c r="A14" i="16" s="1"/>
  <c r="M2" i="16"/>
  <c r="M11" i="16"/>
  <c r="N5" i="16"/>
  <c r="A13" i="16" s="1"/>
  <c r="N4" i="16"/>
  <c r="C28" i="16"/>
  <c r="C4" i="16"/>
  <c r="N3" i="16"/>
  <c r="A11" i="16" s="1"/>
  <c r="A18" i="16" s="1"/>
  <c r="C27" i="16"/>
  <c r="C3" i="16"/>
  <c r="C8" i="16" s="1"/>
  <c r="K2" i="16"/>
  <c r="K11" i="16"/>
  <c r="J2" i="16"/>
  <c r="J11" i="16"/>
  <c r="L12" i="16"/>
  <c r="M12" i="16"/>
  <c r="N2" i="16"/>
  <c r="N14" i="16" s="1"/>
  <c r="A8" i="16"/>
  <c r="A10" i="16"/>
  <c r="C5" i="16"/>
  <c r="C6" i="16"/>
  <c r="C10" i="16"/>
  <c r="C32" i="15"/>
  <c r="A17" i="15"/>
  <c r="A16" i="15"/>
  <c r="M10" i="15"/>
  <c r="L10" i="15"/>
  <c r="K10" i="15"/>
  <c r="J10" i="15"/>
  <c r="A6" i="15"/>
  <c r="A3" i="15"/>
  <c r="J2" i="15" s="1"/>
  <c r="C3" i="15"/>
  <c r="C8" i="15" s="1"/>
  <c r="A5" i="15"/>
  <c r="C5" i="15" s="1"/>
  <c r="A4" i="15"/>
  <c r="C4" i="15" s="1"/>
  <c r="C36" i="15"/>
  <c r="A22" i="15"/>
  <c r="C22" i="15" s="1"/>
  <c r="N9" i="15"/>
  <c r="N8" i="15"/>
  <c r="N7" i="15"/>
  <c r="A15" i="15"/>
  <c r="N6" i="15"/>
  <c r="A14" i="15" s="1"/>
  <c r="C30" i="15"/>
  <c r="N5" i="15"/>
  <c r="C29" i="15"/>
  <c r="N4" i="15"/>
  <c r="C28" i="15" s="1"/>
  <c r="A12" i="15"/>
  <c r="N3" i="15"/>
  <c r="A11" i="15" s="1"/>
  <c r="A18" i="15" s="1"/>
  <c r="N10" i="15"/>
  <c r="C31" i="15"/>
  <c r="C27" i="15"/>
  <c r="A13" i="15"/>
  <c r="C35" i="13"/>
  <c r="C34" i="13"/>
  <c r="C29" i="13"/>
  <c r="A22" i="13"/>
  <c r="C22" i="13"/>
  <c r="C18" i="13"/>
  <c r="N10" i="13"/>
  <c r="N9" i="13"/>
  <c r="N8" i="13"/>
  <c r="C8" i="13"/>
  <c r="N7" i="13"/>
  <c r="A15" i="13"/>
  <c r="N6" i="13"/>
  <c r="C30" i="13" s="1"/>
  <c r="A6" i="13"/>
  <c r="M2" i="13"/>
  <c r="M11" i="13"/>
  <c r="M12" i="13" s="1"/>
  <c r="N5" i="13"/>
  <c r="A13" i="13"/>
  <c r="A5" i="13"/>
  <c r="L2" i="13"/>
  <c r="L11" i="13"/>
  <c r="L12" i="13"/>
  <c r="N4" i="13"/>
  <c r="A4" i="13"/>
  <c r="A8" i="13" s="1"/>
  <c r="A10" i="13" s="1"/>
  <c r="K2" i="13"/>
  <c r="K11" i="13"/>
  <c r="K12" i="13" s="1"/>
  <c r="N3" i="13"/>
  <c r="A11" i="13" s="1"/>
  <c r="A3" i="13"/>
  <c r="J2" i="13" s="1"/>
  <c r="J11" i="13" s="1"/>
  <c r="C27" i="13"/>
  <c r="C31" i="13"/>
  <c r="N8" i="12"/>
  <c r="J12" i="12"/>
  <c r="N10" i="12"/>
  <c r="N9" i="12"/>
  <c r="N7" i="12"/>
  <c r="C31" i="12" s="1"/>
  <c r="A15" i="12"/>
  <c r="N6" i="12"/>
  <c r="C30" i="12" s="1"/>
  <c r="N5" i="12"/>
  <c r="A13" i="12" s="1"/>
  <c r="N4" i="12"/>
  <c r="N3" i="12"/>
  <c r="A11" i="12" s="1"/>
  <c r="C29" i="12"/>
  <c r="C28" i="12"/>
  <c r="A12" i="12"/>
  <c r="C27" i="12"/>
  <c r="M12" i="12"/>
  <c r="M2" i="12"/>
  <c r="C34" i="12"/>
  <c r="C18" i="12"/>
  <c r="C8" i="12"/>
  <c r="A6" i="12"/>
  <c r="A5" i="12"/>
  <c r="L2" i="12"/>
  <c r="L11" i="12"/>
  <c r="L12" i="12" s="1"/>
  <c r="A4" i="12"/>
  <c r="K2" i="12" s="1"/>
  <c r="A3" i="12"/>
  <c r="J2" i="12"/>
  <c r="A8" i="12"/>
  <c r="A10" i="12"/>
  <c r="C10" i="12" s="1"/>
  <c r="A18" i="7"/>
  <c r="C33" i="7"/>
  <c r="C32" i="7"/>
  <c r="A6" i="7"/>
  <c r="A5" i="7"/>
  <c r="A4" i="7"/>
  <c r="A3" i="7"/>
  <c r="A8" i="7" s="1"/>
  <c r="A22" i="7"/>
  <c r="C17" i="7"/>
  <c r="C10" i="7"/>
  <c r="C8" i="7"/>
  <c r="A3" i="5"/>
  <c r="A4" i="5"/>
  <c r="C4" i="5" s="1"/>
  <c r="A8" i="5"/>
  <c r="C8" i="5"/>
  <c r="A6" i="5"/>
  <c r="A10" i="5"/>
  <c r="C32" i="6"/>
  <c r="C33" i="6"/>
  <c r="A3" i="6"/>
  <c r="A4" i="6"/>
  <c r="A8" i="6"/>
  <c r="A10" i="6"/>
  <c r="C10" i="6" s="1"/>
  <c r="A17" i="6"/>
  <c r="A22" i="6" s="1"/>
  <c r="C5" i="6"/>
  <c r="C8" i="6" s="1"/>
  <c r="C6" i="6"/>
  <c r="A21" i="5"/>
  <c r="A17" i="5"/>
  <c r="A22" i="5"/>
  <c r="C5" i="5"/>
  <c r="A5" i="2"/>
  <c r="A22" i="2" s="1"/>
  <c r="A7" i="2"/>
  <c r="A16" i="2"/>
  <c r="C14" i="2" s="1"/>
  <c r="C12" i="2"/>
  <c r="C15" i="2"/>
  <c r="A5" i="1"/>
  <c r="A13" i="1"/>
  <c r="A15" i="1"/>
  <c r="C3" i="5"/>
  <c r="C6" i="5"/>
  <c r="A21" i="7"/>
  <c r="C21" i="7"/>
  <c r="A23" i="12"/>
  <c r="A22" i="12"/>
  <c r="C22" i="12"/>
  <c r="C35" i="12"/>
  <c r="K2" i="15"/>
  <c r="K11" i="15" s="1"/>
  <c r="M2" i="15"/>
  <c r="M12" i="15" s="1"/>
  <c r="M11" i="15"/>
  <c r="C6" i="15"/>
  <c r="C10" i="15"/>
  <c r="J12" i="13" l="1"/>
  <c r="N11" i="13"/>
  <c r="C32" i="13" s="1"/>
  <c r="A23" i="13"/>
  <c r="C10" i="13"/>
  <c r="A19" i="16"/>
  <c r="C35" i="16"/>
  <c r="C18" i="16"/>
  <c r="A23" i="16"/>
  <c r="N12" i="13"/>
  <c r="N11" i="16"/>
  <c r="C33" i="16" s="1"/>
  <c r="C35" i="15"/>
  <c r="C18" i="15"/>
  <c r="J12" i="15"/>
  <c r="J11" i="15"/>
  <c r="K11" i="12"/>
  <c r="N2" i="12"/>
  <c r="O2" i="12" s="1"/>
  <c r="C29" i="17"/>
  <c r="J19" i="17"/>
  <c r="C17" i="6"/>
  <c r="A12" i="17"/>
  <c r="A18" i="17" s="1"/>
  <c r="A19" i="17" s="1"/>
  <c r="J18" i="17"/>
  <c r="A8" i="15"/>
  <c r="A23" i="15" s="1"/>
  <c r="A12" i="13"/>
  <c r="A18" i="6"/>
  <c r="A21" i="6" s="1"/>
  <c r="C21" i="6" s="1"/>
  <c r="A20" i="2"/>
  <c r="A14" i="13"/>
  <c r="C28" i="13"/>
  <c r="C30" i="16"/>
  <c r="C27" i="17"/>
  <c r="J17" i="17"/>
  <c r="M12" i="17"/>
  <c r="L2" i="15"/>
  <c r="C28" i="17"/>
  <c r="A14" i="12"/>
  <c r="C13" i="2"/>
  <c r="N13" i="16"/>
  <c r="K12" i="15"/>
  <c r="C11" i="2"/>
  <c r="C29" i="16"/>
  <c r="N10" i="16"/>
  <c r="N12" i="16" s="1"/>
  <c r="C30" i="17"/>
  <c r="J20" i="17"/>
  <c r="C38" i="20"/>
  <c r="C24" i="20"/>
  <c r="A19" i="19"/>
  <c r="C36" i="19" s="1"/>
  <c r="C18" i="19"/>
  <c r="A23" i="19"/>
  <c r="C32" i="17"/>
  <c r="J21" i="17"/>
  <c r="N10" i="17"/>
  <c r="A13" i="17"/>
  <c r="J12" i="17"/>
  <c r="N2" i="17"/>
  <c r="N13" i="17" s="1"/>
  <c r="C8" i="17"/>
  <c r="K11" i="17"/>
  <c r="N11" i="17" s="1"/>
  <c r="L11" i="15" l="1"/>
  <c r="L12" i="15"/>
  <c r="C36" i="16"/>
  <c r="A22" i="16"/>
  <c r="C22" i="16" s="1"/>
  <c r="N11" i="12"/>
  <c r="K12" i="12"/>
  <c r="N2" i="15"/>
  <c r="N11" i="15"/>
  <c r="C33" i="15" s="1"/>
  <c r="A22" i="19"/>
  <c r="C22" i="19" s="1"/>
  <c r="N12" i="17"/>
  <c r="N14" i="17"/>
  <c r="C33" i="17"/>
  <c r="J22" i="17"/>
  <c r="C35" i="17"/>
  <c r="A23" i="17"/>
  <c r="C18" i="17"/>
  <c r="C36" i="17"/>
  <c r="A22" i="17"/>
  <c r="C22" i="17" s="1"/>
  <c r="O2" i="15" l="1"/>
  <c r="N13" i="15"/>
  <c r="N14" i="15"/>
  <c r="O8" i="15"/>
  <c r="O5" i="15"/>
  <c r="N12" i="15"/>
  <c r="C32" i="12"/>
  <c r="N12"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Winterhalter, Rick</author>
  </authors>
  <commentList>
    <comment ref="C17" authorId="0" shapeId="0" xr:uid="{78736570-2913-494D-92E3-DCC7EA7640E6}">
      <text>
        <r>
          <rPr>
            <b/>
            <sz val="9"/>
            <color indexed="81"/>
            <rFont val="Tahoma"/>
            <family val="2"/>
          </rPr>
          <t>Winterhalter, Rick:</t>
        </r>
        <r>
          <rPr>
            <sz val="9"/>
            <color indexed="81"/>
            <rFont val="Tahoma"/>
            <family val="2"/>
          </rPr>
          <t xml:space="preserve">
didn't need to convert KB reported actual lbs.</t>
        </r>
      </text>
    </comment>
    <comment ref="D17" authorId="0" shapeId="0" xr:uid="{9FA99D4B-8475-44E2-877F-0E97C5D7127F}">
      <text>
        <r>
          <rPr>
            <b/>
            <sz val="9"/>
            <color indexed="81"/>
            <rFont val="Tahoma"/>
            <family val="2"/>
          </rPr>
          <t>Winterhalter, Rick:</t>
        </r>
        <r>
          <rPr>
            <sz val="9"/>
            <color indexed="81"/>
            <rFont val="Tahoma"/>
            <family val="2"/>
          </rPr>
          <t xml:space="preserve">
This is tire conversion formula count to ton/lbs.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Winterhalter, Rick</author>
  </authors>
  <commentList>
    <comment ref="C17" authorId="0" shapeId="0" xr:uid="{B15268F4-94DB-40DC-9986-CEAD2D3FE406}">
      <text>
        <r>
          <rPr>
            <b/>
            <sz val="9"/>
            <color indexed="81"/>
            <rFont val="Tahoma"/>
            <family val="2"/>
          </rPr>
          <t>Winterhalter, Rick:</t>
        </r>
        <r>
          <rPr>
            <sz val="9"/>
            <color indexed="81"/>
            <rFont val="Tahoma"/>
            <family val="2"/>
          </rPr>
          <t xml:space="preserve">
didn't need to convert KB reported actual lbs.</t>
        </r>
      </text>
    </comment>
    <comment ref="D17" authorId="0" shapeId="0" xr:uid="{BE505257-041B-4848-9F63-9AC711501839}">
      <text>
        <r>
          <rPr>
            <b/>
            <sz val="9"/>
            <color indexed="81"/>
            <rFont val="Tahoma"/>
            <family val="2"/>
          </rPr>
          <t>Winterhalter, Rick:</t>
        </r>
        <r>
          <rPr>
            <sz val="9"/>
            <color indexed="81"/>
            <rFont val="Tahoma"/>
            <family val="2"/>
          </rPr>
          <t xml:space="preserve">
This is tire conversion formula count to ton/lbs.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Winterhalter, Rick</author>
  </authors>
  <commentList>
    <comment ref="C17" authorId="0" shapeId="0" xr:uid="{00000000-0006-0000-0400-000001000000}">
      <text>
        <r>
          <rPr>
            <b/>
            <sz val="9"/>
            <color indexed="81"/>
            <rFont val="Tahoma"/>
            <family val="2"/>
          </rPr>
          <t>Winterhalter, Rick:</t>
        </r>
        <r>
          <rPr>
            <sz val="9"/>
            <color indexed="81"/>
            <rFont val="Tahoma"/>
            <family val="2"/>
          </rPr>
          <t xml:space="preserve">
didn't need to convert KB reported actual lbs.</t>
        </r>
      </text>
    </comment>
    <comment ref="D17" authorId="0" shapeId="0" xr:uid="{00000000-0006-0000-0400-000002000000}">
      <text>
        <r>
          <rPr>
            <b/>
            <sz val="9"/>
            <color indexed="81"/>
            <rFont val="Tahoma"/>
            <family val="2"/>
          </rPr>
          <t>Winterhalter, Rick:</t>
        </r>
        <r>
          <rPr>
            <sz val="9"/>
            <color indexed="81"/>
            <rFont val="Tahoma"/>
            <family val="2"/>
          </rPr>
          <t xml:space="preserve">
This is tire conversion formula count to ton/lbs. 
 </t>
        </r>
      </text>
    </comment>
  </commentList>
</comments>
</file>

<file path=xl/sharedStrings.xml><?xml version="1.0" encoding="utf-8"?>
<sst xmlns="http://schemas.openxmlformats.org/spreadsheetml/2006/main" count="748" uniqueCount="101">
  <si>
    <t>used 1 voucher, rest will be turned into Canby with Weight slips.</t>
  </si>
  <si>
    <t>2011 Clackamas River Clean-up</t>
  </si>
  <si>
    <t>Carver Park-Waste Management</t>
  </si>
  <si>
    <t>Riverside Park-Allied</t>
  </si>
  <si>
    <t>Clackamette Park-Oregon City Garbage</t>
  </si>
  <si>
    <t>Incoming total</t>
  </si>
  <si>
    <t>Aluminum cans</t>
  </si>
  <si>
    <t>glass</t>
  </si>
  <si>
    <t>metal</t>
  </si>
  <si>
    <t>wood/occ/plastic bottles</t>
  </si>
  <si>
    <t>tires</t>
  </si>
  <si>
    <t>Total disposal</t>
  </si>
  <si>
    <t>Total recovery in lbs</t>
  </si>
  <si>
    <t>Recovery</t>
  </si>
  <si>
    <t>inferred weight</t>
  </si>
  <si>
    <t>NA</t>
  </si>
  <si>
    <t>total in pounds</t>
  </si>
  <si>
    <t>total in tons</t>
  </si>
  <si>
    <t>Volunteers</t>
  </si>
  <si>
    <t>Year</t>
  </si>
  <si>
    <t>Carver Park: Waste Management</t>
  </si>
  <si>
    <t>Riverside Park: Keller Drop Box</t>
  </si>
  <si>
    <t>Clackamette Park: Oregon City Garbage</t>
  </si>
  <si>
    <t>Tons</t>
  </si>
  <si>
    <t>Recovered at KB Recycling:</t>
  </si>
  <si>
    <t>Metal</t>
  </si>
  <si>
    <t>OCC</t>
  </si>
  <si>
    <t>Plastic</t>
  </si>
  <si>
    <t>Glass</t>
  </si>
  <si>
    <t>Alum Cans</t>
  </si>
  <si>
    <t>Lbs</t>
  </si>
  <si>
    <t>Delivered to KB</t>
  </si>
  <si>
    <t>Metro Voucher used by KB Recycling, Inc.</t>
  </si>
  <si>
    <t>Total Pounds*</t>
  </si>
  <si>
    <t>Recovered (based on amount delivered and amount disposed, not on Total Pounds recovered)</t>
  </si>
  <si>
    <t>Pounds Recovered based on Incoming tons and tons delivered to Metro</t>
  </si>
  <si>
    <t>Pounds /Volunteer</t>
  </si>
  <si>
    <t>Tons Disposed from KB</t>
  </si>
  <si>
    <t>Total Tons Collected</t>
  </si>
  <si>
    <t>2.2 tons delivered to KB less 1.28 tons delivered from KB to Metro</t>
  </si>
  <si>
    <t>2013 Clackamas River Clean-up</t>
  </si>
  <si>
    <t>Riverside Park-Republic</t>
  </si>
  <si>
    <t>Barton Park - Waste Management</t>
  </si>
  <si>
    <t>3880 lbs in</t>
  </si>
  <si>
    <t>scrap= 1260 lbs</t>
  </si>
  <si>
    <t>cement= 240 lbs</t>
  </si>
  <si>
    <t>plastic= 160 lbs</t>
  </si>
  <si>
    <t>alum cans= 180 lbs</t>
  </si>
  <si>
    <t>glass= 180 lbs</t>
  </si>
  <si>
    <t>trash= 720 lbs</t>
  </si>
  <si>
    <t>water/dirt= 1120 lbs</t>
  </si>
  <si>
    <t>from julie @ KWS</t>
  </si>
  <si>
    <t>Tons made available for recovery</t>
  </si>
  <si>
    <t>Cement</t>
  </si>
  <si>
    <t>Trash</t>
  </si>
  <si>
    <t>Water/dirt</t>
  </si>
  <si>
    <t xml:space="preserve">Unaccounted lbs </t>
  </si>
  <si>
    <t>Total Tons Pulled from River</t>
  </si>
  <si>
    <t>416 lbs plastic</t>
  </si>
  <si>
    <t>2,143 lbs metal</t>
  </si>
  <si>
    <t>60 lbs alum. cans</t>
  </si>
  <si>
    <t>354 lbs glass</t>
  </si>
  <si>
    <t>Pounds</t>
  </si>
  <si>
    <t>Tires</t>
  </si>
  <si>
    <t>From Jon @ KB Recycling</t>
  </si>
  <si>
    <t xml:space="preserve"> 3300lbs hauled in</t>
  </si>
  <si>
    <t>Pounds/Tons available for recovery</t>
  </si>
  <si>
    <t>Total Lbs/Tons Pulled from River</t>
  </si>
  <si>
    <t>Waste Mgt made the choice to not deliver the material to KB Recycling.</t>
  </si>
  <si>
    <t>The early time and weight of 1.02 tons was from Craver. The later time and weight of .15 was from Barton.</t>
  </si>
  <si>
    <t>Riverside/Clackamette Only</t>
  </si>
  <si>
    <t>For Graphs</t>
  </si>
  <si>
    <t>Recyclables</t>
  </si>
  <si>
    <t>(Barton and Carver didn't make it to KB)</t>
  </si>
  <si>
    <t>Riverside Park-Waste Managemnet</t>
  </si>
  <si>
    <t>Barton</t>
  </si>
  <si>
    <t>Carver</t>
  </si>
  <si>
    <t>Riverside</t>
  </si>
  <si>
    <t>Clackamette</t>
  </si>
  <si>
    <t>2016 Sept 11 Clackamas River Clean-up</t>
  </si>
  <si>
    <t>Paper</t>
  </si>
  <si>
    <t>Paper/OCC</t>
  </si>
  <si>
    <t>garbage less Metal+Tires</t>
  </si>
  <si>
    <t>Containers+Paper Only</t>
  </si>
  <si>
    <t>Containers+Paper+Metal</t>
  </si>
  <si>
    <t>Containers+paper+metal+ tires + metal</t>
  </si>
  <si>
    <t>Riverside Park-Waste Management</t>
  </si>
  <si>
    <t>Total</t>
  </si>
  <si>
    <t>Clack Prk</t>
  </si>
  <si>
    <t>Adopt A Rd</t>
  </si>
  <si>
    <t>Inventory</t>
  </si>
  <si>
    <t>could be 1,600 depending on count of blue bags</t>
  </si>
  <si>
    <t>2021 Sept 12; Clackamas River Clean-up</t>
  </si>
  <si>
    <t>Driver goofed: Box went to Metro</t>
  </si>
  <si>
    <t>tires each</t>
  </si>
  <si>
    <t>2023 Sept 10; Clackamas River Clean-up</t>
  </si>
  <si>
    <t>Tires (each reported-converted2tons)</t>
  </si>
  <si>
    <t>includes 3 lbs batteries</t>
  </si>
  <si>
    <t>'=ROUND($A$16*0.01,2)</t>
  </si>
  <si>
    <t>Misc Recovery</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</si>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</sst>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_);_(* \(#,##0\);_(* &quot;-&quot;??_);_(@_)"/>
    <numFmt numFmtId="165" formatCode="0.0%"/>
    <numFmt numFmtId="166" formatCode="_(* #,##0.000_);_(* \(#,##0.000\);_(* &quot;-&quot;??_);_(@_)"/>
    <numFmt numFmtId="167" formatCode="0.0000"/>
  </numFmts>
  <fonts count="25" x14ac:knownFonts="1">
    <font>
      <sz val="11"/>
      <color theme="1"/>
      <name val="Calibri"/>
      <family val="2"/>
      <scheme val="minor"/>
    </font>
    <font>
      <sz val="11"/>
      <color theme="1"/>
      <name val="Calibri"/>
      <family val="2"/>
      <scheme val="minor"/>
    </font>
    <font>
      <sz val="11"/>
      <color rgb="FFFF0000"/>
      <name val="Calibri"/>
      <family val="2"/>
      <scheme val="minor"/>
    </font>
    <font>
      <sz val="10"/>
      <color rgb="FF000000"/>
      <name val="Verdana"/>
      <family val="2"/>
    </font>
    <font>
      <i/>
      <sz val="11"/>
      <color rgb="FFFF0000"/>
      <name val="Calibri"/>
      <family val="2"/>
      <scheme val="minor"/>
    </font>
    <font>
      <b/>
      <sz val="11"/>
      <color theme="1"/>
      <name val="Calibri"/>
      <family val="2"/>
      <scheme val="minor"/>
    </font>
    <font>
      <sz val="10"/>
      <name val="Arial"/>
      <family val="2"/>
    </font>
    <font>
      <sz val="12"/>
      <color theme="1"/>
      <name val="Times New Roman"/>
      <family val="1"/>
    </font>
    <font>
      <b/>
      <sz val="12"/>
      <color theme="1"/>
      <name val="Times New Roman"/>
      <family val="1"/>
    </font>
    <font>
      <sz val="12"/>
      <color theme="1"/>
      <name val="Calibri"/>
      <family val="2"/>
      <scheme val="minor"/>
    </font>
    <font>
      <b/>
      <sz val="12"/>
      <color theme="1"/>
      <name val="Calibri"/>
      <family val="2"/>
      <scheme val="minor"/>
    </font>
    <font>
      <b/>
      <u/>
      <sz val="12"/>
      <color theme="1"/>
      <name val="Arial"/>
      <family val="2"/>
    </font>
    <font>
      <i/>
      <sz val="11"/>
      <color theme="1"/>
      <name val="Calibri"/>
      <family val="2"/>
      <scheme val="minor"/>
    </font>
    <font>
      <sz val="11"/>
      <name val="Calibri"/>
      <family val="2"/>
      <scheme val="minor"/>
    </font>
    <font>
      <sz val="10"/>
      <color rgb="FF000000"/>
      <name val="Arial"/>
      <family val="2"/>
    </font>
    <font>
      <b/>
      <sz val="10"/>
      <color rgb="FF000000"/>
      <name val="Verdana"/>
      <family val="2"/>
    </font>
    <font>
      <b/>
      <i/>
      <sz val="11"/>
      <color theme="3" tint="0.39997558519241921"/>
      <name val="Calibri"/>
      <family val="2"/>
      <scheme val="minor"/>
    </font>
    <font>
      <sz val="10"/>
      <color rgb="FF00B050"/>
      <name val="Verdana"/>
      <family val="2"/>
    </font>
    <font>
      <sz val="11"/>
      <color rgb="FF00B050"/>
      <name val="Calibri"/>
      <family val="2"/>
      <scheme val="minor"/>
    </font>
    <font>
      <sz val="9"/>
      <color indexed="81"/>
      <name val="Tahoma"/>
      <family val="2"/>
    </font>
    <font>
      <b/>
      <sz val="9"/>
      <color indexed="81"/>
      <name val="Tahoma"/>
      <family val="2"/>
    </font>
    <font>
      <sz val="12"/>
      <color theme="1"/>
      <name val="Aptos"/>
      <family val="2"/>
    </font>
    <font>
      <b/>
      <sz val="12"/>
      <color theme="1"/>
      <name val="Aptos"/>
      <family val="2"/>
    </font>
    <font>
      <b/>
      <sz val="12"/>
      <color rgb="FF000000"/>
      <name val="Aptos"/>
      <family val="2"/>
    </font>
    <font>
      <sz val="12"/>
      <color rgb="FF000000"/>
      <name val="Aptos"/>
      <family val="2"/>
    </font>
  </fonts>
  <fills count="6">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0000"/>
        <bgColor indexed="64"/>
      </patternFill>
    </fill>
    <fill>
      <patternFill patternType="solid">
        <fgColor rgb="FFFFFFFF"/>
        <bgColor indexed="64"/>
      </patternFill>
    </fill>
  </fills>
  <borders count="11">
    <border>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diagonal/>
    </border>
    <border>
      <left/>
      <right style="medium">
        <color indexed="64"/>
      </right>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6" fillId="0" borderId="0"/>
  </cellStyleXfs>
  <cellXfs count="75">
    <xf numFmtId="0" fontId="0" fillId="0" borderId="0" xfId="0"/>
    <xf numFmtId="0" fontId="3" fillId="0" borderId="0" xfId="0" applyFont="1"/>
    <xf numFmtId="164" fontId="0" fillId="0" borderId="0" xfId="1" applyNumberFormat="1" applyFont="1"/>
    <xf numFmtId="9" fontId="0" fillId="0" borderId="0" xfId="2" applyFont="1"/>
    <xf numFmtId="164" fontId="2" fillId="0" borderId="0" xfId="1" applyNumberFormat="1" applyFont="1"/>
    <xf numFmtId="0" fontId="2" fillId="0" borderId="0" xfId="0" applyFont="1"/>
    <xf numFmtId="0" fontId="4" fillId="0" borderId="0" xfId="0" applyFont="1"/>
    <xf numFmtId="0" fontId="6" fillId="0" borderId="0" xfId="3"/>
    <xf numFmtId="0" fontId="7" fillId="0" borderId="0" xfId="0" applyFont="1"/>
    <xf numFmtId="0" fontId="8" fillId="0" borderId="0" xfId="0" applyFont="1"/>
    <xf numFmtId="0" fontId="9" fillId="0" borderId="0" xfId="0" applyFont="1"/>
    <xf numFmtId="0" fontId="5" fillId="0" borderId="0" xfId="0" applyFont="1"/>
    <xf numFmtId="3" fontId="9" fillId="0" borderId="0" xfId="0" applyNumberFormat="1" applyFont="1"/>
    <xf numFmtId="3" fontId="5" fillId="0" borderId="0" xfId="0" applyNumberFormat="1" applyFont="1"/>
    <xf numFmtId="0" fontId="10" fillId="0" borderId="0" xfId="0" applyFont="1"/>
    <xf numFmtId="0" fontId="11" fillId="0" borderId="0" xfId="0" applyFont="1"/>
    <xf numFmtId="0" fontId="10" fillId="0" borderId="0" xfId="0" applyFont="1" applyAlignment="1">
      <alignment horizontal="left"/>
    </xf>
    <xf numFmtId="0" fontId="10" fillId="0" borderId="0" xfId="0" applyFont="1" applyAlignment="1">
      <alignment horizontal="center"/>
    </xf>
    <xf numFmtId="0" fontId="8" fillId="0" borderId="0" xfId="0" applyFont="1" applyAlignment="1">
      <alignment horizontal="left"/>
    </xf>
    <xf numFmtId="4" fontId="9" fillId="0" borderId="0" xfId="0" applyNumberFormat="1" applyFont="1"/>
    <xf numFmtId="0" fontId="12" fillId="0" borderId="0" xfId="0" applyFont="1"/>
    <xf numFmtId="9" fontId="5" fillId="0" borderId="0" xfId="2" applyFont="1"/>
    <xf numFmtId="3" fontId="0" fillId="0" borderId="0" xfId="0" applyNumberFormat="1"/>
    <xf numFmtId="9" fontId="0" fillId="0" borderId="0" xfId="0" applyNumberFormat="1"/>
    <xf numFmtId="0" fontId="13" fillId="0" borderId="0" xfId="0" applyFont="1"/>
    <xf numFmtId="164" fontId="13" fillId="0" borderId="0" xfId="1" applyNumberFormat="1" applyFont="1"/>
    <xf numFmtId="0" fontId="14" fillId="0" borderId="0" xfId="0" applyFont="1"/>
    <xf numFmtId="0" fontId="14" fillId="2" borderId="0" xfId="0" applyFont="1" applyFill="1"/>
    <xf numFmtId="0" fontId="0" fillId="2" borderId="0" xfId="0" applyFill="1"/>
    <xf numFmtId="0" fontId="7" fillId="2" borderId="0" xfId="0" applyFont="1" applyFill="1"/>
    <xf numFmtId="0" fontId="3" fillId="2" borderId="0" xfId="0" applyFont="1" applyFill="1"/>
    <xf numFmtId="0" fontId="0" fillId="3" borderId="0" xfId="0" applyFill="1"/>
    <xf numFmtId="0" fontId="0" fillId="4" borderId="0" xfId="0" applyFill="1"/>
    <xf numFmtId="164" fontId="0" fillId="0" borderId="0" xfId="0" applyNumberFormat="1"/>
    <xf numFmtId="0" fontId="15" fillId="0" borderId="0" xfId="0" applyFont="1"/>
    <xf numFmtId="43" fontId="0" fillId="0" borderId="0" xfId="0" applyNumberFormat="1"/>
    <xf numFmtId="2" fontId="0" fillId="0" borderId="0" xfId="0" applyNumberFormat="1"/>
    <xf numFmtId="165" fontId="0" fillId="0" borderId="0" xfId="2" applyNumberFormat="1" applyFont="1"/>
    <xf numFmtId="0" fontId="3" fillId="0" borderId="0" xfId="0" applyFont="1" applyAlignment="1">
      <alignment horizontal="right"/>
    </xf>
    <xf numFmtId="164" fontId="5" fillId="0" borderId="0" xfId="0" applyNumberFormat="1" applyFont="1"/>
    <xf numFmtId="166" fontId="0" fillId="0" borderId="0" xfId="0" applyNumberFormat="1"/>
    <xf numFmtId="0" fontId="16" fillId="0" borderId="0" xfId="0" applyFont="1"/>
    <xf numFmtId="164" fontId="16" fillId="0" borderId="0" xfId="0" applyNumberFormat="1" applyFont="1"/>
    <xf numFmtId="0" fontId="17" fillId="0" borderId="0" xfId="0" applyFont="1" applyAlignment="1">
      <alignment horizontal="right"/>
    </xf>
    <xf numFmtId="0" fontId="18" fillId="0" borderId="0" xfId="0" applyFont="1"/>
    <xf numFmtId="165" fontId="18" fillId="0" borderId="0" xfId="2" applyNumberFormat="1" applyFont="1"/>
    <xf numFmtId="10" fontId="0" fillId="0" borderId="0" xfId="2" applyNumberFormat="1" applyFont="1"/>
    <xf numFmtId="14" fontId="0" fillId="0" borderId="0" xfId="0" applyNumberFormat="1"/>
    <xf numFmtId="0" fontId="0" fillId="0" borderId="0" xfId="0" quotePrefix="1"/>
    <xf numFmtId="167" fontId="0" fillId="0" borderId="0" xfId="0" applyNumberFormat="1"/>
    <xf numFmtId="0" fontId="22" fillId="0" borderId="1" xfId="0" applyFont="1" applyBorder="1" applyAlignment="1">
      <alignment vertical="center"/>
    </xf>
    <xf numFmtId="0" fontId="22" fillId="0" borderId="2" xfId="0" applyFont="1" applyBorder="1" applyAlignment="1">
      <alignment vertical="center"/>
    </xf>
    <xf numFmtId="0" fontId="22" fillId="0" borderId="2" xfId="0" applyFont="1" applyBorder="1" applyAlignment="1">
      <alignment vertical="center" wrapText="1"/>
    </xf>
    <xf numFmtId="0" fontId="23" fillId="5" borderId="2" xfId="0" applyFont="1" applyFill="1" applyBorder="1" applyAlignment="1">
      <alignment vertical="center" wrapText="1"/>
    </xf>
    <xf numFmtId="0" fontId="21" fillId="0" borderId="3" xfId="0" applyFont="1" applyBorder="1" applyAlignment="1">
      <alignment vertical="center"/>
    </xf>
    <xf numFmtId="0" fontId="21" fillId="0" borderId="4" xfId="0" applyFont="1" applyBorder="1" applyAlignment="1">
      <alignment vertical="center"/>
    </xf>
    <xf numFmtId="0" fontId="21" fillId="0" borderId="4" xfId="0" applyFont="1" applyBorder="1" applyAlignment="1">
      <alignment vertical="center" wrapText="1"/>
    </xf>
    <xf numFmtId="0" fontId="24" fillId="5" borderId="4" xfId="0" applyFont="1" applyFill="1" applyBorder="1" applyAlignment="1">
      <alignment vertical="center" wrapText="1"/>
    </xf>
    <xf numFmtId="0" fontId="21" fillId="0" borderId="5" xfId="0" applyFont="1" applyBorder="1" applyAlignment="1">
      <alignment vertical="center"/>
    </xf>
    <xf numFmtId="0" fontId="21" fillId="0" borderId="6" xfId="0" applyFont="1" applyBorder="1" applyAlignment="1">
      <alignment vertical="center"/>
    </xf>
    <xf numFmtId="0" fontId="21" fillId="0" borderId="6" xfId="0" applyFont="1" applyBorder="1" applyAlignment="1">
      <alignment vertical="center" wrapText="1"/>
    </xf>
    <xf numFmtId="0" fontId="24" fillId="5" borderId="6" xfId="0" applyFont="1" applyFill="1" applyBorder="1" applyAlignment="1">
      <alignment vertical="center" wrapText="1"/>
    </xf>
    <xf numFmtId="3" fontId="24" fillId="5" borderId="6" xfId="0" applyNumberFormat="1" applyFont="1" applyFill="1" applyBorder="1" applyAlignment="1">
      <alignment vertical="center" wrapText="1"/>
    </xf>
    <xf numFmtId="0" fontId="22" fillId="0" borderId="6" xfId="0" applyFont="1" applyBorder="1" applyAlignment="1">
      <alignment vertical="center"/>
    </xf>
    <xf numFmtId="0" fontId="23" fillId="5" borderId="6" xfId="0" applyFont="1" applyFill="1" applyBorder="1" applyAlignment="1">
      <alignment vertical="center" wrapText="1"/>
    </xf>
    <xf numFmtId="0" fontId="21" fillId="0" borderId="7" xfId="0" applyFont="1" applyBorder="1" applyAlignment="1">
      <alignment vertical="center"/>
    </xf>
    <xf numFmtId="0" fontId="21" fillId="0" borderId="8" xfId="0" applyFont="1" applyBorder="1" applyAlignment="1">
      <alignment vertical="center"/>
    </xf>
    <xf numFmtId="0" fontId="24" fillId="5" borderId="5" xfId="0" applyFont="1" applyFill="1" applyBorder="1" applyAlignment="1">
      <alignment vertical="center" wrapText="1"/>
    </xf>
    <xf numFmtId="3" fontId="21" fillId="0" borderId="6" xfId="0" applyNumberFormat="1" applyFont="1" applyBorder="1" applyAlignment="1">
      <alignment vertical="center"/>
    </xf>
    <xf numFmtId="0" fontId="21" fillId="0" borderId="5" xfId="0" applyFont="1" applyBorder="1" applyAlignment="1">
      <alignment vertical="center" wrapText="1"/>
    </xf>
    <xf numFmtId="0" fontId="21" fillId="0" borderId="9" xfId="0" applyFont="1" applyBorder="1" applyAlignment="1">
      <alignment vertical="center" wrapText="1"/>
    </xf>
    <xf numFmtId="0" fontId="21" fillId="0" borderId="10" xfId="0" applyFont="1" applyBorder="1" applyAlignment="1">
      <alignment vertical="center" wrapText="1"/>
    </xf>
    <xf numFmtId="0" fontId="21" fillId="0" borderId="1" xfId="0" applyFont="1" applyBorder="1" applyAlignment="1">
      <alignment vertical="center" wrapText="1"/>
    </xf>
    <xf numFmtId="0" fontId="21" fillId="0" borderId="2" xfId="0" applyFont="1" applyBorder="1" applyAlignment="1">
      <alignment vertical="center" wrapText="1"/>
    </xf>
    <xf numFmtId="0" fontId="21" fillId="0" borderId="3" xfId="0" applyFont="1" applyBorder="1" applyAlignment="1">
      <alignment vertical="center" wrapText="1"/>
    </xf>
  </cellXfs>
  <cellStyles count="4">
    <cellStyle name="Comma" xfId="1" builtinId="3"/>
    <cellStyle name="Normal" xfId="0" builtinId="0"/>
    <cellStyle name="Normal 2" xfId="3" xr:uid="{00000000-0005-0000-0000-00000200000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Volunteers</a:t>
            </a:r>
            <a:r>
              <a:rPr lang="en-US" baseline="0"/>
              <a:t> Participating in Down by the River Cleanup</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[2]Sheet1!$B$21:$K$21</c:f>
              <c:numCache>
                <c:formatCode>General</c:formatCode>
                <c:ptCount val="10"/>
                <c:pt idx="0">
                  <c:v>2014</c:v>
                </c:pt>
                <c:pt idx="1">
                  <c:v>2015</c:v>
                </c:pt>
                <c:pt idx="2">
                  <c:v>2016</c:v>
                </c:pt>
                <c:pt idx="3">
                  <c:v>2017</c:v>
                </c:pt>
                <c:pt idx="4">
                  <c:v>2018</c:v>
                </c:pt>
                <c:pt idx="5">
                  <c:v>2019</c:v>
                </c:pt>
                <c:pt idx="6">
                  <c:v>2022</c:v>
                </c:pt>
                <c:pt idx="7">
                  <c:v>2023</c:v>
                </c:pt>
                <c:pt idx="8">
                  <c:v>2024</c:v>
                </c:pt>
                <c:pt idx="9">
                  <c:v>2025</c:v>
                </c:pt>
              </c:numCache>
            </c:numRef>
          </c:cat>
          <c:val>
            <c:numRef>
              <c:f>[2]Sheet1!$B$22:$K$22</c:f>
              <c:numCache>
                <c:formatCode>General</c:formatCode>
                <c:ptCount val="10"/>
                <c:pt idx="0">
                  <c:v>401</c:v>
                </c:pt>
                <c:pt idx="1">
                  <c:v>256</c:v>
                </c:pt>
                <c:pt idx="2">
                  <c:v>200</c:v>
                </c:pt>
                <c:pt idx="3">
                  <c:v>248</c:v>
                </c:pt>
                <c:pt idx="4">
                  <c:v>330</c:v>
                </c:pt>
                <c:pt idx="5">
                  <c:v>164</c:v>
                </c:pt>
                <c:pt idx="6">
                  <c:v>55</c:v>
                </c:pt>
                <c:pt idx="7">
                  <c:v>129</c:v>
                </c:pt>
                <c:pt idx="8">
                  <c:v>159</c:v>
                </c:pt>
                <c:pt idx="9">
                  <c:v>179</c:v>
                </c:pt>
              </c:numCache>
            </c:numRef>
          </c:val>
          <c:smooth val="0"/>
          <c:extLst>
            <c:ext xmlns:c16="http://schemas.microsoft.com/office/drawing/2014/chart" uri="{C3380CC4-5D6E-409C-BE32-E72D297353CC}">
              <c16:uniqueId val="{00000000-889F-4ABE-9432-97BBE3CE176D}"/>
            </c:ext>
          </c:extLst>
        </c:ser>
        <c:dLbls>
          <c:showLegendKey val="0"/>
          <c:showVal val="0"/>
          <c:showCatName val="0"/>
          <c:showSerName val="0"/>
          <c:showPercent val="0"/>
          <c:showBubbleSize val="0"/>
        </c:dLbls>
        <c:smooth val="0"/>
        <c:axId val="950268255"/>
        <c:axId val="950275455"/>
        <c:extLst>
          <c:ext xmlns:c15="http://schemas.microsoft.com/office/drawing/2012/chart" uri="{02D57815-91ED-43cb-92C2-25804820EDAC}">
            <c15:filteredLineSeries>
              <c15:ser>
                <c:idx val="1"/>
                <c:order val="1"/>
                <c:spPr>
                  <a:ln w="28575" cap="rnd">
                    <a:solidFill>
                      <a:schemeClr val="accent2"/>
                    </a:solidFill>
                    <a:round/>
                  </a:ln>
                  <a:effectLst/>
                </c:spPr>
                <c:marker>
                  <c:symbol val="none"/>
                </c:marker>
                <c:cat>
                  <c:numRef>
                    <c:extLst>
                      <c:ext uri="{02D57815-91ED-43cb-92C2-25804820EDAC}">
                        <c15:formulaRef>
                          <c15:sqref>[2]Sheet1!$B$21:$K$21</c15:sqref>
                        </c15:formulaRef>
                      </c:ext>
                    </c:extLst>
                    <c:numCache>
                      <c:formatCode>General</c:formatCode>
                      <c:ptCount val="10"/>
                      <c:pt idx="0">
                        <c:v>2014</c:v>
                      </c:pt>
                      <c:pt idx="1">
                        <c:v>2015</c:v>
                      </c:pt>
                      <c:pt idx="2">
                        <c:v>2016</c:v>
                      </c:pt>
                      <c:pt idx="3">
                        <c:v>2017</c:v>
                      </c:pt>
                      <c:pt idx="4">
                        <c:v>2018</c:v>
                      </c:pt>
                      <c:pt idx="5">
                        <c:v>2019</c:v>
                      </c:pt>
                      <c:pt idx="6">
                        <c:v>2022</c:v>
                      </c:pt>
                      <c:pt idx="7">
                        <c:v>2023</c:v>
                      </c:pt>
                      <c:pt idx="8">
                        <c:v>2024</c:v>
                      </c:pt>
                      <c:pt idx="9">
                        <c:v>2025</c:v>
                      </c:pt>
                    </c:numCache>
                  </c:numRef>
                </c:cat>
                <c:val>
                  <c:numRef>
                    <c:extLst>
                      <c:ext uri="{02D57815-91ED-43cb-92C2-25804820EDAC}">
                        <c15:formulaRef>
                          <c15:sqref>[2]Sheet1!$B$23:$K$23</c15:sqref>
                        </c15:formulaRef>
                      </c:ext>
                    </c:extLst>
                    <c:numCache>
                      <c:formatCode>General</c:formatCode>
                      <c:ptCount val="10"/>
                    </c:numCache>
                  </c:numRef>
                </c:val>
                <c:smooth val="0"/>
                <c:extLst>
                  <c:ext xmlns:c16="http://schemas.microsoft.com/office/drawing/2014/chart" uri="{C3380CC4-5D6E-409C-BE32-E72D297353CC}">
                    <c16:uniqueId val="{00000001-889F-4ABE-9432-97BBE3CE176D}"/>
                  </c:ext>
                </c:extLst>
              </c15:ser>
            </c15:filteredLineSeries>
          </c:ext>
        </c:extLst>
      </c:lineChart>
      <c:catAx>
        <c:axId val="9502682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0275455"/>
        <c:crosses val="autoZero"/>
        <c:auto val="1"/>
        <c:lblAlgn val="ctr"/>
        <c:lblOffset val="100"/>
        <c:noMultiLvlLbl val="0"/>
      </c:catAx>
      <c:valAx>
        <c:axId val="95027545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0268255"/>
        <c:crosses val="autoZero"/>
        <c:crossBetween val="between"/>
      </c:valAx>
      <c:spPr>
        <a:noFill/>
        <a:ln>
          <a:solidFill>
            <a:schemeClr val="tx1"/>
          </a:solid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Pounds</a:t>
            </a:r>
            <a:r>
              <a:rPr lang="en-US" baseline="0"/>
              <a:t> of material Delivered to KB Recycling</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6"/>
              </a:solidFill>
              <a:ln w="19050">
                <a:solidFill>
                  <a:schemeClr val="lt1"/>
                </a:solidFill>
              </a:ln>
              <a:effectLst/>
            </c:spPr>
            <c:extLst>
              <c:ext xmlns:c16="http://schemas.microsoft.com/office/drawing/2014/chart" uri="{C3380CC4-5D6E-409C-BE32-E72D297353CC}">
                <c16:uniqueId val="{00000001-992E-4B76-A0C4-D110C2DF4591}"/>
              </c:ext>
            </c:extLst>
          </c:dPt>
          <c:dPt>
            <c:idx val="1"/>
            <c:bubble3D val="0"/>
            <c:spPr>
              <a:solidFill>
                <a:schemeClr val="accent5"/>
              </a:solidFill>
              <a:ln w="19050">
                <a:solidFill>
                  <a:schemeClr val="lt1"/>
                </a:solidFill>
              </a:ln>
              <a:effectLst/>
            </c:spPr>
            <c:extLst>
              <c:ext xmlns:c16="http://schemas.microsoft.com/office/drawing/2014/chart" uri="{C3380CC4-5D6E-409C-BE32-E72D297353CC}">
                <c16:uniqueId val="{00000003-992E-4B76-A0C4-D110C2DF459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[2]Sheet1!$P$68:$P$69</c:f>
              <c:strCache>
                <c:ptCount val="2"/>
                <c:pt idx="0">
                  <c:v>Recyclable</c:v>
                </c:pt>
                <c:pt idx="1">
                  <c:v>Trash</c:v>
                </c:pt>
              </c:strCache>
            </c:strRef>
          </c:cat>
          <c:val>
            <c:numRef>
              <c:f>[2]Sheet1!$Q$68:$Q$69</c:f>
              <c:numCache>
                <c:formatCode>General</c:formatCode>
                <c:ptCount val="2"/>
                <c:pt idx="0">
                  <c:v>251</c:v>
                </c:pt>
                <c:pt idx="1">
                  <c:v>449</c:v>
                </c:pt>
              </c:numCache>
            </c:numRef>
          </c:val>
          <c:extLst>
            <c:ext xmlns:c16="http://schemas.microsoft.com/office/drawing/2014/chart" uri="{C3380CC4-5D6E-409C-BE32-E72D297353CC}">
              <c16:uniqueId val="{00000004-992E-4B76-A0C4-D110C2DF4591}"/>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2025</a:t>
            </a:r>
            <a:r>
              <a:rPr lang="en-US" baseline="0"/>
              <a:t> Material Collected and Recovered</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6"/>
              </a:solidFill>
              <a:ln w="19050">
                <a:solidFill>
                  <a:schemeClr val="lt1"/>
                </a:solidFill>
              </a:ln>
              <a:effectLst/>
            </c:spPr>
            <c:extLst>
              <c:ext xmlns:c16="http://schemas.microsoft.com/office/drawing/2014/chart" uri="{C3380CC4-5D6E-409C-BE32-E72D297353CC}">
                <c16:uniqueId val="{00000001-9F05-49B6-A360-D20C34D99918}"/>
              </c:ext>
            </c:extLst>
          </c:dPt>
          <c:dPt>
            <c:idx val="1"/>
            <c:bubble3D val="0"/>
            <c:spPr>
              <a:solidFill>
                <a:schemeClr val="accent5"/>
              </a:solidFill>
              <a:ln w="19050">
                <a:solidFill>
                  <a:schemeClr val="lt1"/>
                </a:solidFill>
              </a:ln>
              <a:effectLst/>
            </c:spPr>
            <c:extLst>
              <c:ext xmlns:c16="http://schemas.microsoft.com/office/drawing/2014/chart" uri="{C3380CC4-5D6E-409C-BE32-E72D297353CC}">
                <c16:uniqueId val="{00000003-9F05-49B6-A360-D20C34D99918}"/>
              </c:ext>
            </c:extLst>
          </c:dPt>
          <c:dPt>
            <c:idx val="2"/>
            <c:bubble3D val="0"/>
            <c:spPr>
              <a:solidFill>
                <a:schemeClr val="accent4"/>
              </a:solidFill>
              <a:ln w="19050">
                <a:solidFill>
                  <a:schemeClr val="lt1"/>
                </a:solidFill>
              </a:ln>
              <a:effectLst/>
            </c:spPr>
            <c:extLst>
              <c:ext xmlns:c16="http://schemas.microsoft.com/office/drawing/2014/chart" uri="{C3380CC4-5D6E-409C-BE32-E72D297353CC}">
                <c16:uniqueId val="{00000005-9F05-49B6-A360-D20C34D99918}"/>
              </c:ext>
            </c:extLst>
          </c:dPt>
          <c:dPt>
            <c:idx val="3"/>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07-9F05-49B6-A360-D20C34D99918}"/>
              </c:ext>
            </c:extLst>
          </c:dPt>
          <c:dPt>
            <c:idx val="4"/>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09-9F05-49B6-A360-D20C34D99918}"/>
              </c:ext>
            </c:extLst>
          </c:dPt>
          <c:dPt>
            <c:idx val="5"/>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0B-9F05-49B6-A360-D20C34D99918}"/>
              </c:ext>
            </c:extLst>
          </c:dPt>
          <c:dPt>
            <c:idx val="6"/>
            <c:bubble3D val="0"/>
            <c:spPr>
              <a:solidFill>
                <a:schemeClr val="accent6">
                  <a:lumMod val="80000"/>
                  <a:lumOff val="20000"/>
                </a:schemeClr>
              </a:solidFill>
              <a:ln w="19050">
                <a:solidFill>
                  <a:schemeClr val="lt1"/>
                </a:solidFill>
              </a:ln>
              <a:effectLst/>
            </c:spPr>
            <c:extLst>
              <c:ext xmlns:c16="http://schemas.microsoft.com/office/drawing/2014/chart" uri="{C3380CC4-5D6E-409C-BE32-E72D297353CC}">
                <c16:uniqueId val="{0000000D-9F05-49B6-A360-D20C34D99918}"/>
              </c:ext>
            </c:extLst>
          </c:dPt>
          <c:dLbls>
            <c:dLbl>
              <c:idx val="1"/>
              <c:layout>
                <c:manualLayout>
                  <c:x val="-0.11944444444444445"/>
                  <c:y val="2.777777777777777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F05-49B6-A360-D20C34D99918}"/>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[2]Sheet1!$F$90:$F$96</c:f>
              <c:strCache>
                <c:ptCount val="7"/>
                <c:pt idx="0">
                  <c:v>Aluminum</c:v>
                </c:pt>
                <c:pt idx="1">
                  <c:v>Glass</c:v>
                </c:pt>
                <c:pt idx="2">
                  <c:v>Metal</c:v>
                </c:pt>
                <c:pt idx="3">
                  <c:v>Plastic</c:v>
                </c:pt>
                <c:pt idx="4">
                  <c:v>Tires</c:v>
                </c:pt>
                <c:pt idx="5">
                  <c:v>Wood</c:v>
                </c:pt>
                <c:pt idx="6">
                  <c:v>Trash</c:v>
                </c:pt>
              </c:strCache>
            </c:strRef>
          </c:cat>
          <c:val>
            <c:numRef>
              <c:f>[2]Sheet1!$G$90:$G$96</c:f>
              <c:numCache>
                <c:formatCode>General</c:formatCode>
                <c:ptCount val="7"/>
                <c:pt idx="0">
                  <c:v>3</c:v>
                </c:pt>
                <c:pt idx="1">
                  <c:v>2</c:v>
                </c:pt>
                <c:pt idx="2">
                  <c:v>157</c:v>
                </c:pt>
                <c:pt idx="3">
                  <c:v>2</c:v>
                </c:pt>
                <c:pt idx="4">
                  <c:v>85</c:v>
                </c:pt>
                <c:pt idx="5">
                  <c:v>2</c:v>
                </c:pt>
                <c:pt idx="6">
                  <c:v>449</c:v>
                </c:pt>
              </c:numCache>
            </c:numRef>
          </c:val>
          <c:extLst>
            <c:ext xmlns:c16="http://schemas.microsoft.com/office/drawing/2014/chart" uri="{C3380CC4-5D6E-409C-BE32-E72D297353CC}">
              <c16:uniqueId val="{0000000E-9F05-49B6-A360-D20C34D99918}"/>
            </c:ext>
          </c:extLst>
        </c:ser>
        <c:dLbls>
          <c:showLegendKey val="0"/>
          <c:showVal val="0"/>
          <c:showCatName val="0"/>
          <c:showSerName val="0"/>
          <c:showPercent val="0"/>
          <c:showBubbleSize val="0"/>
          <c:showLeaderLines val="0"/>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Material Collected and Recovered</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3-D3E5-4771-B307-9579708D28E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4-D3E5-4771-B307-9579708D28E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A63-4F71-AD48-A1C5C019B4E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2-D3E5-4771-B307-9579708D28EE}"/>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1-D3E5-4771-B307-9579708D28EE}"/>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EA63-4F71-AD48-A1C5C019B4EE}"/>
              </c:ext>
            </c:extLst>
          </c:dPt>
          <c:dLbls>
            <c:dLbl>
              <c:idx val="0"/>
              <c:layout>
                <c:manualLayout>
                  <c:x val="-0.1349488188976378"/>
                  <c:y val="1.685367454068241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3E5-4771-B307-9579708D28EE}"/>
                </c:ext>
              </c:extLst>
            </c:dLbl>
            <c:dLbl>
              <c:idx val="1"/>
              <c:layout>
                <c:manualLayout>
                  <c:x val="0.11353641732283465"/>
                  <c:y val="5.0699912510936132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3E5-4771-B307-9579708D28EE}"/>
                </c:ext>
              </c:extLst>
            </c:dLbl>
            <c:dLbl>
              <c:idx val="3"/>
              <c:layout>
                <c:manualLayout>
                  <c:x val="7.9393263342082243E-2"/>
                  <c:y val="1.51490959463400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3E5-4771-B307-9579708D28EE}"/>
                </c:ext>
              </c:extLst>
            </c:dLbl>
            <c:dLbl>
              <c:idx val="4"/>
              <c:layout>
                <c:manualLayout>
                  <c:x val="7.7611329833770781E-2"/>
                  <c:y val="0.1603579760863225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3E5-4771-B307-9579708D28EE}"/>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'2019 Summ'!$I$17:$I$22</c:f>
              <c:strCache>
                <c:ptCount val="6"/>
                <c:pt idx="0">
                  <c:v>Aluminum cans</c:v>
                </c:pt>
                <c:pt idx="1">
                  <c:v>Glass</c:v>
                </c:pt>
                <c:pt idx="2">
                  <c:v>Metal</c:v>
                </c:pt>
                <c:pt idx="3">
                  <c:v>Plastic</c:v>
                </c:pt>
                <c:pt idx="4">
                  <c:v>Tires</c:v>
                </c:pt>
                <c:pt idx="5">
                  <c:v>Trash</c:v>
                </c:pt>
              </c:strCache>
            </c:strRef>
          </c:cat>
          <c:val>
            <c:numRef>
              <c:f>'2019 Summ'!$J$17:$J$22</c:f>
              <c:numCache>
                <c:formatCode>General</c:formatCode>
                <c:ptCount val="6"/>
                <c:pt idx="0">
                  <c:v>8</c:v>
                </c:pt>
                <c:pt idx="1">
                  <c:v>13</c:v>
                </c:pt>
                <c:pt idx="2">
                  <c:v>232</c:v>
                </c:pt>
                <c:pt idx="3">
                  <c:v>8</c:v>
                </c:pt>
                <c:pt idx="4">
                  <c:v>62</c:v>
                </c:pt>
                <c:pt idx="5" formatCode="_(* #,##0_);_(* \(#,##0\);_(* &quot;-&quot;??_);_(@_)">
                  <c:v>2197</c:v>
                </c:pt>
              </c:numCache>
            </c:numRef>
          </c:val>
          <c:extLst>
            <c:ext xmlns:c16="http://schemas.microsoft.com/office/drawing/2014/chart" uri="{C3380CC4-5D6E-409C-BE32-E72D297353CC}">
              <c16:uniqueId val="{00000000-D3E5-4771-B307-9579708D28EE}"/>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534776902887148"/>
          <c:y val="0.17824074074074076"/>
          <c:w val="0.46388888888888902"/>
          <c:h val="0.77314814814814825"/>
        </c:manualLayout>
      </c:layout>
      <c:pieChart>
        <c:varyColors val="1"/>
        <c:ser>
          <c:idx val="0"/>
          <c:order val="0"/>
          <c:dLbls>
            <c:dLbl>
              <c:idx val="0"/>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0-63A9-49D7-A42B-5224D3783B75}"/>
                </c:ext>
              </c:extLst>
            </c:dLbl>
            <c:spPr>
              <a:noFill/>
              <a:ln>
                <a:noFill/>
              </a:ln>
              <a:effectLst/>
            </c:spPr>
            <c:dLblPos val="bestFit"/>
            <c:showLegendKey val="0"/>
            <c:showVal val="0"/>
            <c:showCatName val="1"/>
            <c:showSerName val="0"/>
            <c:showPercent val="1"/>
            <c:showBubbleSize val="0"/>
            <c:showLeaderLines val="1"/>
            <c:extLst>
              <c:ext xmlns:c15="http://schemas.microsoft.com/office/drawing/2012/chart" uri="{CE6537A1-D6FC-4f65-9D91-7224C49458BB}"/>
            </c:extLst>
          </c:dLbls>
          <c:cat>
            <c:strRef>
              <c:f>'2016 Summ'!$B$27:$B$32</c:f>
              <c:strCache>
                <c:ptCount val="6"/>
                <c:pt idx="0">
                  <c:v>Aluminum cans</c:v>
                </c:pt>
                <c:pt idx="1">
                  <c:v>Glass</c:v>
                </c:pt>
                <c:pt idx="2">
                  <c:v>Metal</c:v>
                </c:pt>
                <c:pt idx="3">
                  <c:v>Plastic</c:v>
                </c:pt>
                <c:pt idx="4">
                  <c:v>Paper</c:v>
                </c:pt>
                <c:pt idx="5">
                  <c:v>Trash</c:v>
                </c:pt>
              </c:strCache>
            </c:strRef>
          </c:cat>
          <c:val>
            <c:numRef>
              <c:f>'2016 Summ'!$C$27:$C$32</c:f>
              <c:numCache>
                <c:formatCode>_(* #,##0_);_(* \(#,##0\);_(* "-"??_);_(@_)</c:formatCode>
                <c:ptCount val="6"/>
                <c:pt idx="0">
                  <c:v>119</c:v>
                </c:pt>
                <c:pt idx="1">
                  <c:v>204</c:v>
                </c:pt>
                <c:pt idx="2">
                  <c:v>237</c:v>
                </c:pt>
                <c:pt idx="3">
                  <c:v>112</c:v>
                </c:pt>
                <c:pt idx="4">
                  <c:v>40</c:v>
                </c:pt>
                <c:pt idx="5">
                  <c:v>2655</c:v>
                </c:pt>
              </c:numCache>
            </c:numRef>
          </c:val>
          <c:extLst>
            <c:ext xmlns:c16="http://schemas.microsoft.com/office/drawing/2014/chart" uri="{C3380CC4-5D6E-409C-BE32-E72D297353CC}">
              <c16:uniqueId val="{00000001-63A9-49D7-A42B-5224D3783B75}"/>
            </c:ext>
          </c:extLst>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75000000000000011" l="0.70000000000000007" r="0.70000000000000007" t="0.75000000000000011" header="0.30000000000000004" footer="0.30000000000000004"/>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534776902887148"/>
          <c:y val="0.17824074074074076"/>
          <c:w val="0.46388888888888902"/>
          <c:h val="0.77314814814814825"/>
        </c:manualLayout>
      </c:layout>
      <c:pieChart>
        <c:varyColors val="1"/>
        <c:ser>
          <c:idx val="0"/>
          <c:order val="0"/>
          <c:dLbls>
            <c:dLbl>
              <c:idx val="0"/>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0-AFB8-4F89-A2F1-B013B0C8DD48}"/>
                </c:ext>
              </c:extLst>
            </c:dLbl>
            <c:spPr>
              <a:noFill/>
              <a:ln>
                <a:noFill/>
              </a:ln>
              <a:effectLst/>
            </c:spPr>
            <c:dLblPos val="bestFit"/>
            <c:showLegendKey val="0"/>
            <c:showVal val="0"/>
            <c:showCatName val="1"/>
            <c:showSerName val="0"/>
            <c:showPercent val="1"/>
            <c:showBubbleSize val="0"/>
            <c:showLeaderLines val="1"/>
            <c:extLst>
              <c:ext xmlns:c15="http://schemas.microsoft.com/office/drawing/2012/chart" uri="{CE6537A1-D6FC-4f65-9D91-7224C49458BB}"/>
            </c:extLst>
          </c:dLbls>
          <c:cat>
            <c:strRef>
              <c:f>'2015 Summ'!$B$26:$B$30</c:f>
              <c:strCache>
                <c:ptCount val="5"/>
                <c:pt idx="0">
                  <c:v>Aluminum cans</c:v>
                </c:pt>
                <c:pt idx="1">
                  <c:v>Glass</c:v>
                </c:pt>
                <c:pt idx="2">
                  <c:v>Metal</c:v>
                </c:pt>
                <c:pt idx="3">
                  <c:v>Plastic</c:v>
                </c:pt>
                <c:pt idx="4">
                  <c:v>Trash</c:v>
                </c:pt>
              </c:strCache>
            </c:strRef>
          </c:cat>
          <c:val>
            <c:numRef>
              <c:f>'2015 Summ'!$C$26:$C$30</c:f>
              <c:numCache>
                <c:formatCode>_(* #,##0_);_(* \(#,##0\);_(* "-"??_);_(@_)</c:formatCode>
                <c:ptCount val="5"/>
              </c:numCache>
            </c:numRef>
          </c:val>
          <c:extLst>
            <c:ext xmlns:c16="http://schemas.microsoft.com/office/drawing/2014/chart" uri="{C3380CC4-5D6E-409C-BE32-E72D297353CC}">
              <c16:uniqueId val="{00000001-AFB8-4F89-A2F1-B013B0C8DD48}"/>
            </c:ext>
          </c:extLst>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75000000000000011" l="0.70000000000000007" r="0.70000000000000007" t="0.75000000000000011" header="0.30000000000000004" footer="0.30000000000000004"/>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3472222222222231"/>
          <c:y val="0.16898148148148154"/>
          <c:w val="0.46388888888888902"/>
          <c:h val="0.77314814814814825"/>
        </c:manualLayout>
      </c:layout>
      <c:pieChart>
        <c:varyColors val="1"/>
        <c:ser>
          <c:idx val="0"/>
          <c:order val="0"/>
          <c:dLbls>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'2015 Summ'!$B$32:$B$33</c:f>
              <c:strCache>
                <c:ptCount val="2"/>
                <c:pt idx="0">
                  <c:v>Recyclables</c:v>
                </c:pt>
                <c:pt idx="1">
                  <c:v>Trash</c:v>
                </c:pt>
              </c:strCache>
            </c:strRef>
          </c:cat>
          <c:val>
            <c:numRef>
              <c:f>'2015 Summ'!$C$32:$C$33</c:f>
              <c:numCache>
                <c:formatCode>_(* #,##0_);_(* \(#,##0\);_(* "-"??_);_(@_)</c:formatCode>
                <c:ptCount val="2"/>
                <c:pt idx="0">
                  <c:v>3117</c:v>
                </c:pt>
                <c:pt idx="1">
                  <c:v>683</c:v>
                </c:pt>
              </c:numCache>
            </c:numRef>
          </c:val>
          <c:extLst>
            <c:ext xmlns:c16="http://schemas.microsoft.com/office/drawing/2014/chart" uri="{C3380CC4-5D6E-409C-BE32-E72D297353CC}">
              <c16:uniqueId val="{00000000-2790-43B6-B670-5312CCCAC5D2}"/>
            </c:ext>
          </c:extLst>
        </c:ser>
        <c:ser>
          <c:idx val="1"/>
          <c:order val="1"/>
          <c:tx>
            <c:strRef>
              <c:f>'2015 Summ'!$B$33</c:f>
              <c:strCache>
                <c:ptCount val="1"/>
                <c:pt idx="0">
                  <c:v>Trash</c:v>
                </c:pt>
              </c:strCache>
            </c:strRef>
          </c:tx>
          <c:cat>
            <c:strRef>
              <c:f>'2015 Summ'!$B$32:$B$33</c:f>
              <c:strCache>
                <c:ptCount val="2"/>
                <c:pt idx="0">
                  <c:v>Recyclables</c:v>
                </c:pt>
                <c:pt idx="1">
                  <c:v>Trash</c:v>
                </c:pt>
              </c:strCache>
            </c:strRef>
          </c:cat>
          <c:val>
            <c:numRef>
              <c:f>'2015 Summ'!$C$33</c:f>
              <c:numCache>
                <c:formatCode>_(* #,##0_);_(* \(#,##0\);_(* "-"??_);_(@_)</c:formatCode>
                <c:ptCount val="1"/>
                <c:pt idx="0">
                  <c:v>683</c:v>
                </c:pt>
              </c:numCache>
            </c:numRef>
          </c:val>
          <c:extLst>
            <c:ext xmlns:c16="http://schemas.microsoft.com/office/drawing/2014/chart" uri="{C3380CC4-5D6E-409C-BE32-E72D297353CC}">
              <c16:uniqueId val="{00000001-2790-43B6-B670-5312CCCAC5D2}"/>
            </c:ext>
          </c:extLst>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534776902887148"/>
          <c:y val="0.17824074074074076"/>
          <c:w val="0.46388888888888902"/>
          <c:h val="0.77314814814814825"/>
        </c:manualLayout>
      </c:layout>
      <c:pieChart>
        <c:varyColors val="1"/>
        <c:ser>
          <c:idx val="0"/>
          <c:order val="0"/>
          <c:dLbls>
            <c:dLbl>
              <c:idx val="0"/>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0-26C3-4326-9FEF-D15599250C2B}"/>
                </c:ext>
              </c:extLst>
            </c:dLbl>
            <c:spPr>
              <a:noFill/>
              <a:ln>
                <a:noFill/>
              </a:ln>
              <a:effectLst/>
            </c:spPr>
            <c:dLblPos val="bestFit"/>
            <c:showLegendKey val="0"/>
            <c:showVal val="0"/>
            <c:showCatName val="1"/>
            <c:showSerName val="0"/>
            <c:showPercent val="1"/>
            <c:showBubbleSize val="0"/>
            <c:showLeaderLines val="1"/>
            <c:extLst>
              <c:ext xmlns:c15="http://schemas.microsoft.com/office/drawing/2012/chart" uri="{CE6537A1-D6FC-4f65-9D91-7224C49458BB}"/>
            </c:extLst>
          </c:dLbls>
          <c:cat>
            <c:strRef>
              <c:f>'2014 Summ'!$B$26:$B$30</c:f>
              <c:strCache>
                <c:ptCount val="5"/>
                <c:pt idx="0">
                  <c:v>Aluminum cans</c:v>
                </c:pt>
                <c:pt idx="1">
                  <c:v>Glass</c:v>
                </c:pt>
                <c:pt idx="2">
                  <c:v>Metal</c:v>
                </c:pt>
                <c:pt idx="3">
                  <c:v>Plastic</c:v>
                </c:pt>
                <c:pt idx="4">
                  <c:v>Trash</c:v>
                </c:pt>
              </c:strCache>
            </c:strRef>
          </c:cat>
          <c:val>
            <c:numRef>
              <c:f>'2014 Summ'!$C$26:$C$30</c:f>
              <c:numCache>
                <c:formatCode>_(* #,##0_);_(* \(#,##0\);_(* "-"??_);_(@_)</c:formatCode>
                <c:ptCount val="5"/>
                <c:pt idx="0">
                  <c:v>60</c:v>
                </c:pt>
                <c:pt idx="1">
                  <c:v>354</c:v>
                </c:pt>
                <c:pt idx="2">
                  <c:v>2143</c:v>
                </c:pt>
                <c:pt idx="3">
                  <c:v>416</c:v>
                </c:pt>
                <c:pt idx="4">
                  <c:v>2647</c:v>
                </c:pt>
              </c:numCache>
            </c:numRef>
          </c:val>
          <c:extLst>
            <c:ext xmlns:c16="http://schemas.microsoft.com/office/drawing/2014/chart" uri="{C3380CC4-5D6E-409C-BE32-E72D297353CC}">
              <c16:uniqueId val="{00000001-26C3-4326-9FEF-D15599250C2B}"/>
            </c:ext>
          </c:extLst>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75000000000000011" l="0.70000000000000007" r="0.70000000000000007" t="0.75000000000000011" header="0.30000000000000004" footer="0.30000000000000004"/>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3472222222222231"/>
          <c:y val="0.16898148148148154"/>
          <c:w val="0.46388888888888902"/>
          <c:h val="0.77314814814814825"/>
        </c:manualLayout>
      </c:layout>
      <c:pieChart>
        <c:varyColors val="1"/>
        <c:ser>
          <c:idx val="0"/>
          <c:order val="0"/>
          <c:dLbls>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'2014 Summ'!$B$32:$B$33</c:f>
              <c:strCache>
                <c:ptCount val="2"/>
                <c:pt idx="0">
                  <c:v>Recyclables</c:v>
                </c:pt>
                <c:pt idx="1">
                  <c:v>Trash</c:v>
                </c:pt>
              </c:strCache>
            </c:strRef>
          </c:cat>
          <c:val>
            <c:numRef>
              <c:f>'2014 Summ'!$C$32:$C$33</c:f>
              <c:numCache>
                <c:formatCode>_(* #,##0_);_(* \(#,##0\);_(* "-"??_);_(@_)</c:formatCode>
                <c:ptCount val="2"/>
                <c:pt idx="0">
                  <c:v>2973</c:v>
                </c:pt>
                <c:pt idx="1">
                  <c:v>2647</c:v>
                </c:pt>
              </c:numCache>
            </c:numRef>
          </c:val>
          <c:extLst>
            <c:ext xmlns:c16="http://schemas.microsoft.com/office/drawing/2014/chart" uri="{C3380CC4-5D6E-409C-BE32-E72D297353CC}">
              <c16:uniqueId val="{00000000-33EF-4F5A-B12B-30146CFED1C3}"/>
            </c:ext>
          </c:extLst>
        </c:ser>
        <c:ser>
          <c:idx val="1"/>
          <c:order val="1"/>
          <c:tx>
            <c:strRef>
              <c:f>'2014 Summ'!$B$33</c:f>
              <c:strCache>
                <c:ptCount val="1"/>
                <c:pt idx="0">
                  <c:v>Trash</c:v>
                </c:pt>
              </c:strCache>
            </c:strRef>
          </c:tx>
          <c:cat>
            <c:strRef>
              <c:f>'2014 Summ'!$B$32:$B$33</c:f>
              <c:strCache>
                <c:ptCount val="2"/>
                <c:pt idx="0">
                  <c:v>Recyclables</c:v>
                </c:pt>
                <c:pt idx="1">
                  <c:v>Trash</c:v>
                </c:pt>
              </c:strCache>
            </c:strRef>
          </c:cat>
          <c:val>
            <c:numRef>
              <c:f>'2014 Summ'!$C$33</c:f>
              <c:numCache>
                <c:formatCode>_(* #,##0_);_(* \(#,##0\);_(* "-"??_);_(@_)</c:formatCode>
                <c:ptCount val="1"/>
                <c:pt idx="0">
                  <c:v>2647</c:v>
                </c:pt>
              </c:numCache>
            </c:numRef>
          </c:val>
          <c:extLst>
            <c:ext xmlns:c16="http://schemas.microsoft.com/office/drawing/2014/chart" uri="{C3380CC4-5D6E-409C-BE32-E72D297353CC}">
              <c16:uniqueId val="{00000001-33EF-4F5A-B12B-30146CFED1C3}"/>
            </c:ext>
          </c:extLst>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75000000000000011" l="0.70000000000000007" r="0.70000000000000007" t="0.75000000000000011" header="0.30000000000000004" footer="0.30000000000000004"/>
    <c:pageSetup/>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Lbls>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'2014 Summ'!$B$35:$B$40</c:f>
              <c:strCache>
                <c:ptCount val="6"/>
                <c:pt idx="0">
                  <c:v>Delivered to KB</c:v>
                </c:pt>
                <c:pt idx="1">
                  <c:v>Aluminum cans</c:v>
                </c:pt>
                <c:pt idx="2">
                  <c:v>Glass</c:v>
                </c:pt>
                <c:pt idx="3">
                  <c:v>Metal</c:v>
                </c:pt>
                <c:pt idx="4">
                  <c:v>Plastic</c:v>
                </c:pt>
                <c:pt idx="5">
                  <c:v>Trash</c:v>
                </c:pt>
              </c:strCache>
            </c:strRef>
          </c:cat>
          <c:val>
            <c:numRef>
              <c:f>'2014 Summ'!$C$35:$C$40</c:f>
              <c:numCache>
                <c:formatCode>_(* #,##0_);_(* \(#,##0\);_(* "-"??_);_(@_)</c:formatCode>
                <c:ptCount val="6"/>
                <c:pt idx="1">
                  <c:v>60</c:v>
                </c:pt>
                <c:pt idx="2">
                  <c:v>354</c:v>
                </c:pt>
                <c:pt idx="3">
                  <c:v>2143</c:v>
                </c:pt>
                <c:pt idx="4">
                  <c:v>416</c:v>
                </c:pt>
                <c:pt idx="5">
                  <c:v>300</c:v>
                </c:pt>
              </c:numCache>
            </c:numRef>
          </c:val>
          <c:extLst>
            <c:ext xmlns:c16="http://schemas.microsoft.com/office/drawing/2014/chart" uri="{C3380CC4-5D6E-409C-BE32-E72D297353CC}">
              <c16:uniqueId val="{00000000-3548-44C6-8FB9-F9C35987F800}"/>
            </c:ext>
          </c:extLst>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75000000000000011" l="0.70000000000000007" r="0.70000000000000007" t="0.75000000000000011" header="0.30000000000000004" footer="0.30000000000000004"/>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Pounds</a:t>
            </a:r>
            <a:r>
              <a:rPr lang="en-US" baseline="0"/>
              <a:t> per Volunteer</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[2]Sheet1!$E$64:$Y$64</c:f>
              <c:numCache>
                <c:formatCode>General</c:formatCode>
                <c:ptCount val="21"/>
                <c:pt idx="0">
                  <c:v>2004</c:v>
                </c:pt>
                <c:pt idx="1">
                  <c:v>2005</c:v>
                </c:pt>
                <c:pt idx="2">
                  <c:v>2006</c:v>
                </c:pt>
                <c:pt idx="3">
                  <c:v>2007</c:v>
                </c:pt>
                <c:pt idx="4">
                  <c:v>2008</c:v>
                </c:pt>
                <c:pt idx="5">
                  <c:v>2009</c:v>
                </c:pt>
                <c:pt idx="6">
                  <c:v>2010</c:v>
                </c:pt>
                <c:pt idx="7">
                  <c:v>2010</c:v>
                </c:pt>
                <c:pt idx="8">
                  <c:v>2011</c:v>
                </c:pt>
                <c:pt idx="9">
                  <c:v>2012</c:v>
                </c:pt>
                <c:pt idx="10">
                  <c:v>2013</c:v>
                </c:pt>
                <c:pt idx="11">
                  <c:v>2014</c:v>
                </c:pt>
                <c:pt idx="12">
                  <c:v>2015</c:v>
                </c:pt>
                <c:pt idx="13">
                  <c:v>2016</c:v>
                </c:pt>
                <c:pt idx="14">
                  <c:v>2017</c:v>
                </c:pt>
                <c:pt idx="15">
                  <c:v>2018</c:v>
                </c:pt>
                <c:pt idx="16">
                  <c:v>2019</c:v>
                </c:pt>
                <c:pt idx="17">
                  <c:v>2022</c:v>
                </c:pt>
                <c:pt idx="18">
                  <c:v>2023</c:v>
                </c:pt>
                <c:pt idx="19">
                  <c:v>2024</c:v>
                </c:pt>
                <c:pt idx="20">
                  <c:v>2025</c:v>
                </c:pt>
              </c:numCache>
            </c:numRef>
          </c:cat>
          <c:val>
            <c:numRef>
              <c:f>[2]Sheet1!$E$65:$Y$65</c:f>
              <c:numCache>
                <c:formatCode>General</c:formatCode>
                <c:ptCount val="21"/>
                <c:pt idx="0">
                  <c:v>37</c:v>
                </c:pt>
                <c:pt idx="1">
                  <c:v>27</c:v>
                </c:pt>
                <c:pt idx="2">
                  <c:v>31</c:v>
                </c:pt>
                <c:pt idx="3">
                  <c:v>27</c:v>
                </c:pt>
                <c:pt idx="4">
                  <c:v>19</c:v>
                </c:pt>
                <c:pt idx="5">
                  <c:v>15</c:v>
                </c:pt>
                <c:pt idx="6">
                  <c:v>12</c:v>
                </c:pt>
                <c:pt idx="7">
                  <c:v>16</c:v>
                </c:pt>
                <c:pt idx="8">
                  <c:v>16</c:v>
                </c:pt>
                <c:pt idx="9">
                  <c:v>18</c:v>
                </c:pt>
                <c:pt idx="10">
                  <c:v>18</c:v>
                </c:pt>
                <c:pt idx="11">
                  <c:v>14</c:v>
                </c:pt>
                <c:pt idx="12">
                  <c:v>15</c:v>
                </c:pt>
                <c:pt idx="13">
                  <c:v>18</c:v>
                </c:pt>
                <c:pt idx="14">
                  <c:v>15</c:v>
                </c:pt>
                <c:pt idx="15">
                  <c:v>13</c:v>
                </c:pt>
                <c:pt idx="16">
                  <c:v>15</c:v>
                </c:pt>
                <c:pt idx="17">
                  <c:v>17</c:v>
                </c:pt>
                <c:pt idx="18">
                  <c:v>16</c:v>
                </c:pt>
                <c:pt idx="19">
                  <c:v>16</c:v>
                </c:pt>
                <c:pt idx="20">
                  <c:v>15</c:v>
                </c:pt>
              </c:numCache>
            </c:numRef>
          </c:val>
          <c:smooth val="0"/>
          <c:extLst>
            <c:ext xmlns:c16="http://schemas.microsoft.com/office/drawing/2014/chart" uri="{C3380CC4-5D6E-409C-BE32-E72D297353CC}">
              <c16:uniqueId val="{00000000-C443-47A4-882A-25EB26BFC83D}"/>
            </c:ext>
          </c:extLst>
        </c:ser>
        <c:dLbls>
          <c:showLegendKey val="0"/>
          <c:showVal val="1"/>
          <c:showCatName val="0"/>
          <c:showSerName val="0"/>
          <c:showPercent val="0"/>
          <c:showBubbleSize val="0"/>
        </c:dLbls>
        <c:smooth val="0"/>
        <c:axId val="1256890751"/>
        <c:axId val="1256884511"/>
      </c:lineChart>
      <c:catAx>
        <c:axId val="12568907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6884511"/>
        <c:crosses val="autoZero"/>
        <c:auto val="1"/>
        <c:lblAlgn val="ctr"/>
        <c:lblOffset val="100"/>
        <c:noMultiLvlLbl val="0"/>
      </c:catAx>
      <c:valAx>
        <c:axId val="125688451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6890751"/>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Clackamette</a:t>
            </a:r>
            <a:r>
              <a:rPr lang="en-US" baseline="0"/>
              <a:t> Park: Tons Collected</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cat>
            <c:numRef>
              <c:f>[2]Sheet1!$B$3:$B$13</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[2]Sheet1!$C$3:$C$13</c:f>
              <c:numCache>
                <c:formatCode>General</c:formatCode>
                <c:ptCount val="11"/>
                <c:pt idx="0">
                  <c:v>0.42</c:v>
                </c:pt>
                <c:pt idx="1">
                  <c:v>0.41</c:v>
                </c:pt>
                <c:pt idx="2">
                  <c:v>0.2</c:v>
                </c:pt>
                <c:pt idx="3">
                  <c:v>0.41</c:v>
                </c:pt>
                <c:pt idx="4">
                  <c:v>0.47</c:v>
                </c:pt>
                <c:pt idx="5">
                  <c:v>0.1</c:v>
                </c:pt>
                <c:pt idx="7">
                  <c:v>0.32</c:v>
                </c:pt>
                <c:pt idx="8">
                  <c:v>0.15</c:v>
                </c:pt>
                <c:pt idx="9">
                  <c:v>0.09</c:v>
                </c:pt>
                <c:pt idx="10">
                  <c:v>0.11</c:v>
                </c:pt>
              </c:numCache>
            </c:numRef>
          </c:val>
          <c:extLst>
            <c:ext xmlns:c16="http://schemas.microsoft.com/office/drawing/2014/chart" uri="{C3380CC4-5D6E-409C-BE32-E72D297353CC}">
              <c16:uniqueId val="{00000000-A270-477F-A555-47FD7EFBF30C}"/>
            </c:ext>
          </c:extLst>
        </c:ser>
        <c:dLbls>
          <c:showLegendKey val="0"/>
          <c:showVal val="0"/>
          <c:showCatName val="0"/>
          <c:showSerName val="0"/>
          <c:showPercent val="0"/>
          <c:showBubbleSize val="0"/>
        </c:dLbls>
        <c:gapWidth val="219"/>
        <c:overlap val="-27"/>
        <c:axId val="728920703"/>
        <c:axId val="728932703"/>
      </c:barChart>
      <c:catAx>
        <c:axId val="7289207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8932703"/>
        <c:crosses val="autoZero"/>
        <c:auto val="1"/>
        <c:lblAlgn val="ctr"/>
        <c:lblOffset val="100"/>
        <c:noMultiLvlLbl val="0"/>
      </c:catAx>
      <c:valAx>
        <c:axId val="72893270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892070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Barton</a:t>
            </a:r>
            <a:r>
              <a:rPr lang="en-US" baseline="0"/>
              <a:t> Park: Tons Collected</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cat>
            <c:numRef>
              <c:f>[2]Sheet1!$N$3:$N$14</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[2]Sheet1!$O$3:$O$14</c:f>
              <c:numCache>
                <c:formatCode>General</c:formatCode>
                <c:ptCount val="12"/>
                <c:pt idx="0">
                  <c:v>0.15</c:v>
                </c:pt>
                <c:pt idx="1">
                  <c:v>0.3</c:v>
                </c:pt>
                <c:pt idx="2">
                  <c:v>0.23</c:v>
                </c:pt>
                <c:pt idx="3">
                  <c:v>0.56000000000000005</c:v>
                </c:pt>
                <c:pt idx="4">
                  <c:v>0.44</c:v>
                </c:pt>
                <c:pt idx="5">
                  <c:v>0.18</c:v>
                </c:pt>
                <c:pt idx="7">
                  <c:v>0.1</c:v>
                </c:pt>
                <c:pt idx="8">
                  <c:v>0.13</c:v>
                </c:pt>
                <c:pt idx="9">
                  <c:v>0.249</c:v>
                </c:pt>
                <c:pt idx="10">
                  <c:v>0.1</c:v>
                </c:pt>
                <c:pt idx="11">
                  <c:v>0.28999999999999998</c:v>
                </c:pt>
              </c:numCache>
            </c:numRef>
          </c:val>
          <c:extLst>
            <c:ext xmlns:c16="http://schemas.microsoft.com/office/drawing/2014/chart" uri="{C3380CC4-5D6E-409C-BE32-E72D297353CC}">
              <c16:uniqueId val="{00000000-D087-4F98-9160-63A33E9D7D34}"/>
            </c:ext>
          </c:extLst>
        </c:ser>
        <c:dLbls>
          <c:showLegendKey val="0"/>
          <c:showVal val="0"/>
          <c:showCatName val="0"/>
          <c:showSerName val="0"/>
          <c:showPercent val="0"/>
          <c:showBubbleSize val="0"/>
        </c:dLbls>
        <c:gapWidth val="219"/>
        <c:overlap val="-27"/>
        <c:axId val="489462511"/>
        <c:axId val="489463471"/>
      </c:barChart>
      <c:catAx>
        <c:axId val="4894625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9463471"/>
        <c:crosses val="autoZero"/>
        <c:auto val="1"/>
        <c:lblAlgn val="ctr"/>
        <c:lblOffset val="100"/>
        <c:noMultiLvlLbl val="0"/>
      </c:catAx>
      <c:valAx>
        <c:axId val="48946347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946251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Carver</a:t>
            </a:r>
            <a:r>
              <a:rPr lang="en-US" baseline="0"/>
              <a:t> Park: Tons Collected</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cat>
            <c:numRef>
              <c:f>[2]Sheet1!$N$22:$N$33</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[2]Sheet1!$O$22:$O$33</c:f>
              <c:numCache>
                <c:formatCode>General</c:formatCode>
                <c:ptCount val="12"/>
                <c:pt idx="0">
                  <c:v>1.02</c:v>
                </c:pt>
                <c:pt idx="1">
                  <c:v>0.69</c:v>
                </c:pt>
                <c:pt idx="2">
                  <c:v>0.81</c:v>
                </c:pt>
                <c:pt idx="3">
                  <c:v>0.41</c:v>
                </c:pt>
                <c:pt idx="4">
                  <c:v>0.59</c:v>
                </c:pt>
                <c:pt idx="5">
                  <c:v>0.35</c:v>
                </c:pt>
                <c:pt idx="7">
                  <c:v>0.48</c:v>
                </c:pt>
                <c:pt idx="8">
                  <c:v>0.11</c:v>
                </c:pt>
                <c:pt idx="9">
                  <c:v>0.36</c:v>
                </c:pt>
                <c:pt idx="10">
                  <c:v>0.27</c:v>
                </c:pt>
                <c:pt idx="11">
                  <c:v>0.5</c:v>
                </c:pt>
              </c:numCache>
            </c:numRef>
          </c:val>
          <c:extLst>
            <c:ext xmlns:c16="http://schemas.microsoft.com/office/drawing/2014/chart" uri="{C3380CC4-5D6E-409C-BE32-E72D297353CC}">
              <c16:uniqueId val="{00000000-8C78-4EF8-A71E-7CE7E8C0A4DF}"/>
            </c:ext>
          </c:extLst>
        </c:ser>
        <c:dLbls>
          <c:showLegendKey val="0"/>
          <c:showVal val="0"/>
          <c:showCatName val="0"/>
          <c:showSerName val="0"/>
          <c:showPercent val="0"/>
          <c:showBubbleSize val="0"/>
        </c:dLbls>
        <c:gapWidth val="219"/>
        <c:overlap val="-27"/>
        <c:axId val="1244551695"/>
        <c:axId val="1244562255"/>
      </c:barChart>
      <c:catAx>
        <c:axId val="12445516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44562255"/>
        <c:crosses val="autoZero"/>
        <c:auto val="1"/>
        <c:lblAlgn val="ctr"/>
        <c:lblOffset val="100"/>
        <c:noMultiLvlLbl val="0"/>
      </c:catAx>
      <c:valAx>
        <c:axId val="124456225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4455169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Riverside</a:t>
            </a:r>
            <a:r>
              <a:rPr lang="en-US" baseline="0"/>
              <a:t> Park: Tons Collected</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cat>
            <c:numRef>
              <c:f>[2]Sheet1!$C$43:$C$54</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[2]Sheet1!$D$43:$D$54</c:f>
              <c:numCache>
                <c:formatCode>General</c:formatCode>
                <c:ptCount val="12"/>
                <c:pt idx="0">
                  <c:v>1.22</c:v>
                </c:pt>
                <c:pt idx="1">
                  <c:v>0.5</c:v>
                </c:pt>
                <c:pt idx="2">
                  <c:v>0.56000000000000005</c:v>
                </c:pt>
                <c:pt idx="3">
                  <c:v>0.52</c:v>
                </c:pt>
                <c:pt idx="4">
                  <c:v>0.65</c:v>
                </c:pt>
                <c:pt idx="5">
                  <c:v>0.63</c:v>
                </c:pt>
                <c:pt idx="7">
                  <c:v>0.16</c:v>
                </c:pt>
                <c:pt idx="8">
                  <c:v>0.09</c:v>
                </c:pt>
                <c:pt idx="9">
                  <c:v>0.32</c:v>
                </c:pt>
                <c:pt idx="10">
                  <c:v>0.28999999999999998</c:v>
                </c:pt>
                <c:pt idx="11">
                  <c:v>0.24</c:v>
                </c:pt>
              </c:numCache>
            </c:numRef>
          </c:val>
          <c:extLst>
            <c:ext xmlns:c16="http://schemas.microsoft.com/office/drawing/2014/chart" uri="{C3380CC4-5D6E-409C-BE32-E72D297353CC}">
              <c16:uniqueId val="{00000000-9912-4482-B9BB-6C9EFDBC61AB}"/>
            </c:ext>
          </c:extLst>
        </c:ser>
        <c:dLbls>
          <c:showLegendKey val="0"/>
          <c:showVal val="0"/>
          <c:showCatName val="0"/>
          <c:showSerName val="0"/>
          <c:showPercent val="0"/>
          <c:showBubbleSize val="0"/>
        </c:dLbls>
        <c:gapWidth val="219"/>
        <c:overlap val="-27"/>
        <c:axId val="1244566095"/>
        <c:axId val="1244557935"/>
      </c:barChart>
      <c:catAx>
        <c:axId val="12445660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44557935"/>
        <c:crosses val="autoZero"/>
        <c:auto val="1"/>
        <c:lblAlgn val="ctr"/>
        <c:lblOffset val="100"/>
        <c:noMultiLvlLbl val="0"/>
      </c:catAx>
      <c:valAx>
        <c:axId val="124455793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44566095"/>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Tons</a:t>
            </a:r>
            <a:r>
              <a:rPr lang="en-US" baseline="0"/>
              <a:t> of Trash Removed During Down by the River Cleanup</a:t>
            </a:r>
            <a:endParaRPr lang="en-US"/>
          </a:p>
        </c:rich>
      </c:tx>
      <c:layout>
        <c:manualLayout>
          <c:xMode val="edge"/>
          <c:yMode val="edge"/>
          <c:x val="0.41464566929133856"/>
          <c:y val="2.77777777777777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[2]Sheet1!$F$106:$P$106</c:f>
              <c:numCache>
                <c:formatCode>General</c:formatCode>
                <c:ptCount val="11"/>
                <c:pt idx="0">
                  <c:v>2014</c:v>
                </c:pt>
                <c:pt idx="1">
                  <c:v>2015</c:v>
                </c:pt>
                <c:pt idx="2">
                  <c:v>2016</c:v>
                </c:pt>
                <c:pt idx="3">
                  <c:v>2017</c:v>
                </c:pt>
                <c:pt idx="4">
                  <c:v>2018</c:v>
                </c:pt>
                <c:pt idx="5">
                  <c:v>2019</c:v>
                </c:pt>
                <c:pt idx="6">
                  <c:v>2021</c:v>
                </c:pt>
                <c:pt idx="7">
                  <c:v>2022</c:v>
                </c:pt>
                <c:pt idx="8">
                  <c:v>2023</c:v>
                </c:pt>
                <c:pt idx="9">
                  <c:v>2024</c:v>
                </c:pt>
                <c:pt idx="10">
                  <c:v>2025</c:v>
                </c:pt>
              </c:numCache>
            </c:numRef>
          </c:cat>
          <c:val>
            <c:numRef>
              <c:f>[2]Sheet1!$F$107:$P$107</c:f>
              <c:numCache>
                <c:formatCode>General</c:formatCode>
                <c:ptCount val="11"/>
                <c:pt idx="0">
                  <c:v>2.81</c:v>
                </c:pt>
                <c:pt idx="1">
                  <c:v>1.9</c:v>
                </c:pt>
                <c:pt idx="2">
                  <c:v>1.8</c:v>
                </c:pt>
                <c:pt idx="3">
                  <c:v>1.9</c:v>
                </c:pt>
                <c:pt idx="4">
                  <c:v>2.15</c:v>
                </c:pt>
                <c:pt idx="5">
                  <c:v>1.26</c:v>
                </c:pt>
                <c:pt idx="6">
                  <c:v>1.06</c:v>
                </c:pt>
                <c:pt idx="7">
                  <c:v>0.48</c:v>
                </c:pt>
                <c:pt idx="8">
                  <c:v>1.0189999999999999</c:v>
                </c:pt>
                <c:pt idx="9">
                  <c:v>0.77</c:v>
                </c:pt>
                <c:pt idx="10">
                  <c:v>1.38</c:v>
                </c:pt>
              </c:numCache>
            </c:numRef>
          </c:val>
          <c:smooth val="0"/>
          <c:extLst>
            <c:ext xmlns:c16="http://schemas.microsoft.com/office/drawing/2014/chart" uri="{C3380CC4-5D6E-409C-BE32-E72D297353CC}">
              <c16:uniqueId val="{00000000-22C1-4D90-B4E9-96978EE29462}"/>
            </c:ext>
          </c:extLst>
        </c:ser>
        <c:dLbls>
          <c:dLblPos val="t"/>
          <c:showLegendKey val="0"/>
          <c:showVal val="1"/>
          <c:showCatName val="0"/>
          <c:showSerName val="0"/>
          <c:showPercent val="0"/>
          <c:showBubbleSize val="0"/>
        </c:dLbls>
        <c:smooth val="0"/>
        <c:axId val="930703007"/>
        <c:axId val="930701087"/>
      </c:lineChart>
      <c:catAx>
        <c:axId val="9307030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30701087"/>
        <c:crosses val="autoZero"/>
        <c:auto val="1"/>
        <c:lblAlgn val="ctr"/>
        <c:lblOffset val="100"/>
        <c:noMultiLvlLbl val="0"/>
      </c:catAx>
      <c:valAx>
        <c:axId val="93070108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30703007"/>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Tons</a:t>
            </a:r>
            <a:r>
              <a:rPr lang="en-US" baseline="0"/>
              <a:t> of Trash Removed During Down by the River Cleanup</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cat>
            <c:numRef>
              <c:f>[2]Sheet1!$N$114:$N$124</c:f>
              <c:numCache>
                <c:formatCode>General</c:formatCode>
                <c:ptCount val="11"/>
                <c:pt idx="0">
                  <c:v>2014</c:v>
                </c:pt>
                <c:pt idx="1">
                  <c:v>2015</c:v>
                </c:pt>
                <c:pt idx="2">
                  <c:v>2016</c:v>
                </c:pt>
                <c:pt idx="3">
                  <c:v>2017</c:v>
                </c:pt>
                <c:pt idx="4">
                  <c:v>2018</c:v>
                </c:pt>
                <c:pt idx="5">
                  <c:v>2019</c:v>
                </c:pt>
                <c:pt idx="6">
                  <c:v>2021</c:v>
                </c:pt>
                <c:pt idx="7">
                  <c:v>2022</c:v>
                </c:pt>
                <c:pt idx="8">
                  <c:v>2023</c:v>
                </c:pt>
                <c:pt idx="9">
                  <c:v>2024</c:v>
                </c:pt>
                <c:pt idx="10">
                  <c:v>2025</c:v>
                </c:pt>
              </c:numCache>
            </c:numRef>
          </c:cat>
          <c:val>
            <c:numRef>
              <c:f>[2]Sheet1!$O$114:$O$124</c:f>
              <c:numCache>
                <c:formatCode>General</c:formatCode>
                <c:ptCount val="11"/>
                <c:pt idx="0">
                  <c:v>2.81</c:v>
                </c:pt>
                <c:pt idx="1">
                  <c:v>1.9</c:v>
                </c:pt>
                <c:pt idx="2">
                  <c:v>1.8</c:v>
                </c:pt>
                <c:pt idx="3">
                  <c:v>1.9</c:v>
                </c:pt>
                <c:pt idx="4">
                  <c:v>2.15</c:v>
                </c:pt>
                <c:pt idx="5">
                  <c:v>1.26</c:v>
                </c:pt>
                <c:pt idx="6">
                  <c:v>1.06</c:v>
                </c:pt>
                <c:pt idx="7">
                  <c:v>0.48</c:v>
                </c:pt>
                <c:pt idx="8">
                  <c:v>1.0189999999999999</c:v>
                </c:pt>
                <c:pt idx="9">
                  <c:v>0.77</c:v>
                </c:pt>
                <c:pt idx="10">
                  <c:v>1.38</c:v>
                </c:pt>
              </c:numCache>
            </c:numRef>
          </c:val>
          <c:extLst>
            <c:ext xmlns:c16="http://schemas.microsoft.com/office/drawing/2014/chart" uri="{C3380CC4-5D6E-409C-BE32-E72D297353CC}">
              <c16:uniqueId val="{00000000-1509-4059-ABD1-09B965F4BF72}"/>
            </c:ext>
          </c:extLst>
        </c:ser>
        <c:dLbls>
          <c:showLegendKey val="0"/>
          <c:showVal val="0"/>
          <c:showCatName val="0"/>
          <c:showSerName val="0"/>
          <c:showPercent val="0"/>
          <c:showBubbleSize val="0"/>
        </c:dLbls>
        <c:gapWidth val="219"/>
        <c:overlap val="-27"/>
        <c:axId val="484140335"/>
        <c:axId val="484140815"/>
      </c:barChart>
      <c:catAx>
        <c:axId val="4841403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4140815"/>
        <c:crosses val="autoZero"/>
        <c:auto val="1"/>
        <c:lblAlgn val="ctr"/>
        <c:lblOffset val="100"/>
        <c:noMultiLvlLbl val="0"/>
      </c:catAx>
      <c:valAx>
        <c:axId val="48414081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4140335"/>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Tons</a:t>
            </a:r>
            <a:r>
              <a:rPr lang="en-US" baseline="0"/>
              <a:t> Per Park Per Year</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[2]Sheet1!$P$41</c:f>
              <c:strCache>
                <c:ptCount val="1"/>
                <c:pt idx="0">
                  <c:v>Barton</c:v>
                </c:pt>
              </c:strCache>
            </c:strRef>
          </c:tx>
          <c:spPr>
            <a:solidFill>
              <a:schemeClr val="accent1"/>
            </a:solidFill>
            <a:ln>
              <a:noFill/>
            </a:ln>
            <a:effectLst/>
          </c:spPr>
          <c:invertIfNegative val="0"/>
          <c:cat>
            <c:numRef>
              <c:f>[2]Sheet1!$Q$40:$X$40</c:f>
              <c:numCache>
                <c:formatCode>General</c:formatCode>
                <c:ptCount val="8"/>
                <c:pt idx="0">
                  <c:v>2017</c:v>
                </c:pt>
                <c:pt idx="1">
                  <c:v>2018</c:v>
                </c:pt>
                <c:pt idx="2">
                  <c:v>2019</c:v>
                </c:pt>
                <c:pt idx="3">
                  <c:v>2021</c:v>
                </c:pt>
                <c:pt idx="4">
                  <c:v>2022</c:v>
                </c:pt>
                <c:pt idx="5">
                  <c:v>2023</c:v>
                </c:pt>
                <c:pt idx="6">
                  <c:v>2024</c:v>
                </c:pt>
                <c:pt idx="7">
                  <c:v>2025</c:v>
                </c:pt>
              </c:numCache>
            </c:numRef>
          </c:cat>
          <c:val>
            <c:numRef>
              <c:f>[2]Sheet1!$Q$41:$X$41</c:f>
              <c:numCache>
                <c:formatCode>General</c:formatCode>
                <c:ptCount val="8"/>
                <c:pt idx="0">
                  <c:v>0.56000000000000005</c:v>
                </c:pt>
                <c:pt idx="1">
                  <c:v>0.44</c:v>
                </c:pt>
                <c:pt idx="2">
                  <c:v>0.18</c:v>
                </c:pt>
                <c:pt idx="3">
                  <c:v>0.1</c:v>
                </c:pt>
                <c:pt idx="4">
                  <c:v>0.13</c:v>
                </c:pt>
                <c:pt idx="5">
                  <c:v>0.249</c:v>
                </c:pt>
                <c:pt idx="6">
                  <c:v>0.1</c:v>
                </c:pt>
                <c:pt idx="7">
                  <c:v>0.28999999999999998</c:v>
                </c:pt>
              </c:numCache>
            </c:numRef>
          </c:val>
          <c:extLst>
            <c:ext xmlns:c16="http://schemas.microsoft.com/office/drawing/2014/chart" uri="{C3380CC4-5D6E-409C-BE32-E72D297353CC}">
              <c16:uniqueId val="{00000000-5BF7-49DC-B944-83E963FBDB2E}"/>
            </c:ext>
          </c:extLst>
        </c:ser>
        <c:ser>
          <c:idx val="1"/>
          <c:order val="1"/>
          <c:tx>
            <c:strRef>
              <c:f>[2]Sheet1!$P$42</c:f>
              <c:strCache>
                <c:ptCount val="1"/>
                <c:pt idx="0">
                  <c:v>Carver</c:v>
                </c:pt>
              </c:strCache>
            </c:strRef>
          </c:tx>
          <c:spPr>
            <a:solidFill>
              <a:schemeClr val="accent2"/>
            </a:solidFill>
            <a:ln>
              <a:noFill/>
            </a:ln>
            <a:effectLst/>
          </c:spPr>
          <c:invertIfNegative val="0"/>
          <c:cat>
            <c:numRef>
              <c:f>[2]Sheet1!$Q$40:$X$40</c:f>
              <c:numCache>
                <c:formatCode>General</c:formatCode>
                <c:ptCount val="8"/>
                <c:pt idx="0">
                  <c:v>2017</c:v>
                </c:pt>
                <c:pt idx="1">
                  <c:v>2018</c:v>
                </c:pt>
                <c:pt idx="2">
                  <c:v>2019</c:v>
                </c:pt>
                <c:pt idx="3">
                  <c:v>2021</c:v>
                </c:pt>
                <c:pt idx="4">
                  <c:v>2022</c:v>
                </c:pt>
                <c:pt idx="5">
                  <c:v>2023</c:v>
                </c:pt>
                <c:pt idx="6">
                  <c:v>2024</c:v>
                </c:pt>
                <c:pt idx="7">
                  <c:v>2025</c:v>
                </c:pt>
              </c:numCache>
            </c:numRef>
          </c:cat>
          <c:val>
            <c:numRef>
              <c:f>[2]Sheet1!$Q$42:$X$42</c:f>
              <c:numCache>
                <c:formatCode>General</c:formatCode>
                <c:ptCount val="8"/>
                <c:pt idx="0">
                  <c:v>0.41</c:v>
                </c:pt>
                <c:pt idx="1">
                  <c:v>0.59</c:v>
                </c:pt>
                <c:pt idx="2">
                  <c:v>0.35</c:v>
                </c:pt>
                <c:pt idx="3">
                  <c:v>0.48</c:v>
                </c:pt>
                <c:pt idx="4">
                  <c:v>0.11</c:v>
                </c:pt>
                <c:pt idx="5">
                  <c:v>0.36</c:v>
                </c:pt>
                <c:pt idx="6">
                  <c:v>0.27</c:v>
                </c:pt>
                <c:pt idx="7">
                  <c:v>0.5</c:v>
                </c:pt>
              </c:numCache>
            </c:numRef>
          </c:val>
          <c:extLst>
            <c:ext xmlns:c16="http://schemas.microsoft.com/office/drawing/2014/chart" uri="{C3380CC4-5D6E-409C-BE32-E72D297353CC}">
              <c16:uniqueId val="{00000001-5BF7-49DC-B944-83E963FBDB2E}"/>
            </c:ext>
          </c:extLst>
        </c:ser>
        <c:ser>
          <c:idx val="2"/>
          <c:order val="2"/>
          <c:tx>
            <c:strRef>
              <c:f>[2]Sheet1!$P$43</c:f>
              <c:strCache>
                <c:ptCount val="1"/>
                <c:pt idx="0">
                  <c:v>Riverside</c:v>
                </c:pt>
              </c:strCache>
            </c:strRef>
          </c:tx>
          <c:spPr>
            <a:solidFill>
              <a:schemeClr val="accent3"/>
            </a:solidFill>
            <a:ln>
              <a:noFill/>
            </a:ln>
            <a:effectLst/>
          </c:spPr>
          <c:invertIfNegative val="0"/>
          <c:cat>
            <c:numRef>
              <c:f>[2]Sheet1!$Q$40:$X$40</c:f>
              <c:numCache>
                <c:formatCode>General</c:formatCode>
                <c:ptCount val="8"/>
                <c:pt idx="0">
                  <c:v>2017</c:v>
                </c:pt>
                <c:pt idx="1">
                  <c:v>2018</c:v>
                </c:pt>
                <c:pt idx="2">
                  <c:v>2019</c:v>
                </c:pt>
                <c:pt idx="3">
                  <c:v>2021</c:v>
                </c:pt>
                <c:pt idx="4">
                  <c:v>2022</c:v>
                </c:pt>
                <c:pt idx="5">
                  <c:v>2023</c:v>
                </c:pt>
                <c:pt idx="6">
                  <c:v>2024</c:v>
                </c:pt>
                <c:pt idx="7">
                  <c:v>2025</c:v>
                </c:pt>
              </c:numCache>
            </c:numRef>
          </c:cat>
          <c:val>
            <c:numRef>
              <c:f>[2]Sheet1!$Q$43:$X$43</c:f>
              <c:numCache>
                <c:formatCode>General</c:formatCode>
                <c:ptCount val="8"/>
                <c:pt idx="0">
                  <c:v>0.52</c:v>
                </c:pt>
                <c:pt idx="1">
                  <c:v>0.65</c:v>
                </c:pt>
                <c:pt idx="2">
                  <c:v>0.63</c:v>
                </c:pt>
                <c:pt idx="3">
                  <c:v>0.16</c:v>
                </c:pt>
                <c:pt idx="4">
                  <c:v>0.09</c:v>
                </c:pt>
                <c:pt idx="5">
                  <c:v>0.32</c:v>
                </c:pt>
                <c:pt idx="6">
                  <c:v>0.28999999999999998</c:v>
                </c:pt>
                <c:pt idx="7">
                  <c:v>0.24</c:v>
                </c:pt>
              </c:numCache>
            </c:numRef>
          </c:val>
          <c:extLst>
            <c:ext xmlns:c16="http://schemas.microsoft.com/office/drawing/2014/chart" uri="{C3380CC4-5D6E-409C-BE32-E72D297353CC}">
              <c16:uniqueId val="{00000002-5BF7-49DC-B944-83E963FBDB2E}"/>
            </c:ext>
          </c:extLst>
        </c:ser>
        <c:ser>
          <c:idx val="3"/>
          <c:order val="3"/>
          <c:tx>
            <c:strRef>
              <c:f>[2]Sheet1!$P$44</c:f>
              <c:strCache>
                <c:ptCount val="1"/>
                <c:pt idx="0">
                  <c:v>Clackamette</c:v>
                </c:pt>
              </c:strCache>
            </c:strRef>
          </c:tx>
          <c:spPr>
            <a:solidFill>
              <a:schemeClr val="accent4"/>
            </a:solidFill>
            <a:ln>
              <a:noFill/>
            </a:ln>
            <a:effectLst/>
          </c:spPr>
          <c:invertIfNegative val="0"/>
          <c:cat>
            <c:numRef>
              <c:f>[2]Sheet1!$Q$40:$X$40</c:f>
              <c:numCache>
                <c:formatCode>General</c:formatCode>
                <c:ptCount val="8"/>
                <c:pt idx="0">
                  <c:v>2017</c:v>
                </c:pt>
                <c:pt idx="1">
                  <c:v>2018</c:v>
                </c:pt>
                <c:pt idx="2">
                  <c:v>2019</c:v>
                </c:pt>
                <c:pt idx="3">
                  <c:v>2021</c:v>
                </c:pt>
                <c:pt idx="4">
                  <c:v>2022</c:v>
                </c:pt>
                <c:pt idx="5">
                  <c:v>2023</c:v>
                </c:pt>
                <c:pt idx="6">
                  <c:v>2024</c:v>
                </c:pt>
                <c:pt idx="7">
                  <c:v>2025</c:v>
                </c:pt>
              </c:numCache>
            </c:numRef>
          </c:cat>
          <c:val>
            <c:numRef>
              <c:f>[2]Sheet1!$Q$44:$X$44</c:f>
              <c:numCache>
                <c:formatCode>General</c:formatCode>
                <c:ptCount val="8"/>
                <c:pt idx="0">
                  <c:v>0.2</c:v>
                </c:pt>
                <c:pt idx="1">
                  <c:v>0.47</c:v>
                </c:pt>
                <c:pt idx="2">
                  <c:v>0.1</c:v>
                </c:pt>
                <c:pt idx="3">
                  <c:v>0.32</c:v>
                </c:pt>
                <c:pt idx="4">
                  <c:v>0.15</c:v>
                </c:pt>
                <c:pt idx="5">
                  <c:v>0.09</c:v>
                </c:pt>
                <c:pt idx="6">
                  <c:v>0.11</c:v>
                </c:pt>
                <c:pt idx="7">
                  <c:v>0.35</c:v>
                </c:pt>
              </c:numCache>
            </c:numRef>
          </c:val>
          <c:extLst>
            <c:ext xmlns:c16="http://schemas.microsoft.com/office/drawing/2014/chart" uri="{C3380CC4-5D6E-409C-BE32-E72D297353CC}">
              <c16:uniqueId val="{00000003-5BF7-49DC-B944-83E963FBDB2E}"/>
            </c:ext>
          </c:extLst>
        </c:ser>
        <c:dLbls>
          <c:showLegendKey val="0"/>
          <c:showVal val="0"/>
          <c:showCatName val="0"/>
          <c:showSerName val="0"/>
          <c:showPercent val="0"/>
          <c:showBubbleSize val="0"/>
        </c:dLbls>
        <c:gapWidth val="219"/>
        <c:overlap val="-27"/>
        <c:axId val="1244558895"/>
        <c:axId val="1244553135"/>
        <c:extLst>
          <c:ext xmlns:c15="http://schemas.microsoft.com/office/drawing/2012/chart" uri="{02D57815-91ED-43cb-92C2-25804820EDAC}">
            <c15:filteredBarSeries>
              <c15:ser>
                <c:idx val="4"/>
                <c:order val="4"/>
                <c:tx>
                  <c:strRef>
                    <c:extLst>
                      <c:ext uri="{02D57815-91ED-43cb-92C2-25804820EDAC}">
                        <c15:formulaRef>
                          <c15:sqref>[2]Sheet1!$P$45</c15:sqref>
                        </c15:formulaRef>
                      </c:ext>
                    </c:extLst>
                    <c:strCache>
                      <c:ptCount val="1"/>
                    </c:strCache>
                  </c:strRef>
                </c:tx>
                <c:spPr>
                  <a:solidFill>
                    <a:schemeClr val="accent5"/>
                  </a:solidFill>
                  <a:ln>
                    <a:noFill/>
                  </a:ln>
                  <a:effectLst/>
                </c:spPr>
                <c:invertIfNegative val="0"/>
                <c:cat>
                  <c:numRef>
                    <c:extLst>
                      <c:ext uri="{02D57815-91ED-43cb-92C2-25804820EDAC}">
                        <c15:formulaRef>
                          <c15:sqref>[2]Sheet1!$Q$40:$X$40</c15:sqref>
                        </c15:formulaRef>
                      </c:ext>
                    </c:extLst>
                    <c:numCache>
                      <c:formatCode>General</c:formatCode>
                      <c:ptCount val="8"/>
                      <c:pt idx="0">
                        <c:v>2017</c:v>
                      </c:pt>
                      <c:pt idx="1">
                        <c:v>2018</c:v>
                      </c:pt>
                      <c:pt idx="2">
                        <c:v>2019</c:v>
                      </c:pt>
                      <c:pt idx="3">
                        <c:v>2021</c:v>
                      </c:pt>
                      <c:pt idx="4">
                        <c:v>2022</c:v>
                      </c:pt>
                      <c:pt idx="5">
                        <c:v>2023</c:v>
                      </c:pt>
                      <c:pt idx="6">
                        <c:v>2024</c:v>
                      </c:pt>
                      <c:pt idx="7">
                        <c:v>2025</c:v>
                      </c:pt>
                    </c:numCache>
                  </c:numRef>
                </c:cat>
                <c:val>
                  <c:numRef>
                    <c:extLst>
                      <c:ext uri="{02D57815-91ED-43cb-92C2-25804820EDAC}">
                        <c15:formulaRef>
                          <c15:sqref>[2]Sheet1!$Q$45:$X$45</c15:sqref>
                        </c15:formulaRef>
                      </c:ext>
                    </c:extLst>
                    <c:numCache>
                      <c:formatCode>General</c:formatCode>
                      <c:ptCount val="8"/>
                    </c:numCache>
                  </c:numRef>
                </c:val>
                <c:extLst>
                  <c:ext xmlns:c16="http://schemas.microsoft.com/office/drawing/2014/chart" uri="{C3380CC4-5D6E-409C-BE32-E72D297353CC}">
                    <c16:uniqueId val="{00000004-5BF7-49DC-B944-83E963FBDB2E}"/>
                  </c:ext>
                </c:extLst>
              </c15:ser>
            </c15:filteredBarSeries>
          </c:ext>
        </c:extLst>
      </c:barChart>
      <c:catAx>
        <c:axId val="12445588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44553135"/>
        <c:crosses val="autoZero"/>
        <c:auto val="1"/>
        <c:lblAlgn val="ctr"/>
        <c:lblOffset val="100"/>
        <c:noMultiLvlLbl val="0"/>
      </c:catAx>
      <c:valAx>
        <c:axId val="124455313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Tons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44558895"/>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s>
</file>

<file path=xl/drawings/_rels/drawing2.xml.rels><?xml version="1.0" encoding="UTF-8" standalone="yes"?>
<Relationships xmlns="http://schemas.openxmlformats.org/package/2006/relationships"><Relationship Id="rId1" Type="http://schemas.openxmlformats.org/officeDocument/2006/relationships/chart" Target="../charts/chart9.xml"/></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10</xdr:col>
      <xdr:colOff>0</xdr:colOff>
      <xdr:row>1</xdr:row>
      <xdr:rowOff>0</xdr:rowOff>
    </xdr:from>
    <xdr:to>
      <xdr:col>17</xdr:col>
      <xdr:colOff>198120</xdr:colOff>
      <xdr:row>13</xdr:row>
      <xdr:rowOff>179070</xdr:rowOff>
    </xdr:to>
    <xdr:graphicFrame macro="">
      <xdr:nvGraphicFramePr>
        <xdr:cNvPr id="2" name="Chart 1">
          <a:extLst>
            <a:ext uri="{FF2B5EF4-FFF2-40B4-BE49-F238E27FC236}">
              <a16:creationId xmlns:a16="http://schemas.microsoft.com/office/drawing/2014/main" id="{507D4857-7E84-4425-ACD4-86E6851823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15240</xdr:colOff>
      <xdr:row>1</xdr:row>
      <xdr:rowOff>11430</xdr:rowOff>
    </xdr:from>
    <xdr:to>
      <xdr:col>25</xdr:col>
      <xdr:colOff>320040</xdr:colOff>
      <xdr:row>16</xdr:row>
      <xdr:rowOff>11430</xdr:rowOff>
    </xdr:to>
    <xdr:graphicFrame macro="">
      <xdr:nvGraphicFramePr>
        <xdr:cNvPr id="3" name="Chart 2">
          <a:extLst>
            <a:ext uri="{FF2B5EF4-FFF2-40B4-BE49-F238E27FC236}">
              <a16:creationId xmlns:a16="http://schemas.microsoft.com/office/drawing/2014/main" id="{CE7F2914-01E2-4FC1-8A19-D92C3FBC43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481965</xdr:colOff>
      <xdr:row>17</xdr:row>
      <xdr:rowOff>204787</xdr:rowOff>
    </xdr:from>
    <xdr:to>
      <xdr:col>17</xdr:col>
      <xdr:colOff>161925</xdr:colOff>
      <xdr:row>32</xdr:row>
      <xdr:rowOff>98107</xdr:rowOff>
    </xdr:to>
    <xdr:graphicFrame macro="">
      <xdr:nvGraphicFramePr>
        <xdr:cNvPr id="4" name="Chart 3">
          <a:extLst>
            <a:ext uri="{FF2B5EF4-FFF2-40B4-BE49-F238E27FC236}">
              <a16:creationId xmlns:a16="http://schemas.microsoft.com/office/drawing/2014/main" id="{7C05DDD1-1A5A-468D-83EE-A6350A63A9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548640</xdr:colOff>
      <xdr:row>18</xdr:row>
      <xdr:rowOff>19050</xdr:rowOff>
    </xdr:from>
    <xdr:to>
      <xdr:col>25</xdr:col>
      <xdr:colOff>243840</xdr:colOff>
      <xdr:row>33</xdr:row>
      <xdr:rowOff>41910</xdr:rowOff>
    </xdr:to>
    <xdr:graphicFrame macro="">
      <xdr:nvGraphicFramePr>
        <xdr:cNvPr id="5" name="Chart 4">
          <a:extLst>
            <a:ext uri="{FF2B5EF4-FFF2-40B4-BE49-F238E27FC236}">
              <a16:creationId xmlns:a16="http://schemas.microsoft.com/office/drawing/2014/main" id="{625CAA83-E658-402A-ACEC-408520FAF5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426720</xdr:colOff>
      <xdr:row>34</xdr:row>
      <xdr:rowOff>163830</xdr:rowOff>
    </xdr:from>
    <xdr:to>
      <xdr:col>17</xdr:col>
      <xdr:colOff>121920</xdr:colOff>
      <xdr:row>49</xdr:row>
      <xdr:rowOff>163830</xdr:rowOff>
    </xdr:to>
    <xdr:graphicFrame macro="">
      <xdr:nvGraphicFramePr>
        <xdr:cNvPr id="8" name="Chart 7">
          <a:extLst>
            <a:ext uri="{FF2B5EF4-FFF2-40B4-BE49-F238E27FC236}">
              <a16:creationId xmlns:a16="http://schemas.microsoft.com/office/drawing/2014/main" id="{1099B272-5B43-4F3E-A184-5C3A8B8CD5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17</xdr:col>
      <xdr:colOff>601980</xdr:colOff>
      <xdr:row>34</xdr:row>
      <xdr:rowOff>156210</xdr:rowOff>
    </xdr:from>
    <xdr:to>
      <xdr:col>25</xdr:col>
      <xdr:colOff>297180</xdr:colOff>
      <xdr:row>49</xdr:row>
      <xdr:rowOff>156210</xdr:rowOff>
    </xdr:to>
    <xdr:graphicFrame macro="">
      <xdr:nvGraphicFramePr>
        <xdr:cNvPr id="9" name="Chart 8">
          <a:extLst>
            <a:ext uri="{FF2B5EF4-FFF2-40B4-BE49-F238E27FC236}">
              <a16:creationId xmlns:a16="http://schemas.microsoft.com/office/drawing/2014/main" id="{19C61A52-8749-4797-997A-049158267A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xdr:col>
      <xdr:colOff>426720</xdr:colOff>
      <xdr:row>53</xdr:row>
      <xdr:rowOff>19050</xdr:rowOff>
    </xdr:from>
    <xdr:to>
      <xdr:col>12</xdr:col>
      <xdr:colOff>121920</xdr:colOff>
      <xdr:row>68</xdr:row>
      <xdr:rowOff>19050</xdr:rowOff>
    </xdr:to>
    <xdr:graphicFrame macro="">
      <xdr:nvGraphicFramePr>
        <xdr:cNvPr id="10" name="Chart 9">
          <a:extLst>
            <a:ext uri="{FF2B5EF4-FFF2-40B4-BE49-F238E27FC236}">
              <a16:creationId xmlns:a16="http://schemas.microsoft.com/office/drawing/2014/main" id="{35998FCA-09B0-4175-B215-821342D537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13</xdr:col>
      <xdr:colOff>15240</xdr:colOff>
      <xdr:row>53</xdr:row>
      <xdr:rowOff>26670</xdr:rowOff>
    </xdr:from>
    <xdr:to>
      <xdr:col>20</xdr:col>
      <xdr:colOff>320040</xdr:colOff>
      <xdr:row>68</xdr:row>
      <xdr:rowOff>26670</xdr:rowOff>
    </xdr:to>
    <xdr:graphicFrame macro="">
      <xdr:nvGraphicFramePr>
        <xdr:cNvPr id="11" name="Chart 10">
          <a:extLst>
            <a:ext uri="{FF2B5EF4-FFF2-40B4-BE49-F238E27FC236}">
              <a16:creationId xmlns:a16="http://schemas.microsoft.com/office/drawing/2014/main" id="{FE3A6E8E-74FC-4F3B-9499-E6FC1590D9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20</xdr:col>
      <xdr:colOff>209550</xdr:colOff>
      <xdr:row>0</xdr:row>
      <xdr:rowOff>38100</xdr:rowOff>
    </xdr:from>
    <xdr:to>
      <xdr:col>27</xdr:col>
      <xdr:colOff>400050</xdr:colOff>
      <xdr:row>16</xdr:row>
      <xdr:rowOff>57150</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17154525" y="38100"/>
          <a:ext cx="4457700" cy="3067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Bag Inventory from Alix 8/7/17:</a:t>
          </a:r>
        </a:p>
        <a:p>
          <a:r>
            <a:rPr lang="en-US" sz="1100" i="1">
              <a:solidFill>
                <a:schemeClr val="dk1"/>
              </a:solidFill>
              <a:effectLst/>
              <a:latin typeface="+mn-lt"/>
              <a:ea typeface="+mn-ea"/>
              <a:cs typeface="+mn-cs"/>
            </a:rPr>
            <a:t>We still have five boxes of yellow bags, and we have three bags stuffed with yellow bags and one bag stuffed with blue bags. </a:t>
          </a:r>
        </a:p>
        <a:p>
          <a:endParaRPr lang="en-US" sz="1100" i="1">
            <a:solidFill>
              <a:schemeClr val="dk1"/>
            </a:solidFill>
            <a:effectLst/>
            <a:latin typeface="+mn-lt"/>
            <a:ea typeface="+mn-ea"/>
            <a:cs typeface="+mn-cs"/>
          </a:endParaRPr>
        </a:p>
        <a:p>
          <a:r>
            <a:rPr lang="en-US" sz="1100">
              <a:solidFill>
                <a:schemeClr val="dk1"/>
              </a:solidFill>
              <a:effectLst/>
              <a:latin typeface="+mn-lt"/>
              <a:ea typeface="+mn-ea"/>
              <a:cs typeface="+mn-cs"/>
            </a:rPr>
            <a:t>Bag Inventory from Suzi 9/19/17</a:t>
          </a:r>
        </a:p>
        <a:p>
          <a:r>
            <a:rPr lang="en-US" sz="1100" i="1">
              <a:solidFill>
                <a:schemeClr val="dk1"/>
              </a:solidFill>
              <a:effectLst/>
              <a:latin typeface="+mn-lt"/>
              <a:ea typeface="+mn-ea"/>
              <a:cs typeface="+mn-cs"/>
            </a:rPr>
            <a:t>We have about 2,000 (10boxes)</a:t>
          </a:r>
          <a:r>
            <a:rPr lang="en-US" sz="1100" i="1" baseline="0">
              <a:solidFill>
                <a:schemeClr val="dk1"/>
              </a:solidFill>
              <a:effectLst/>
              <a:latin typeface="+mn-lt"/>
              <a:ea typeface="+mn-ea"/>
              <a:cs typeface="+mn-cs"/>
            </a:rPr>
            <a:t> </a:t>
          </a:r>
          <a:r>
            <a:rPr lang="en-US" sz="1100" i="1">
              <a:solidFill>
                <a:schemeClr val="dk1"/>
              </a:solidFill>
              <a:effectLst/>
              <a:latin typeface="+mn-lt"/>
              <a:ea typeface="+mn-ea"/>
              <a:cs typeface="+mn-cs"/>
            </a:rPr>
            <a:t>yellow recycling bags left with 1,000 (5 boxes) older blue ones ricocheting back to us this week as well. </a:t>
          </a:r>
        </a:p>
        <a:p>
          <a:endParaRPr lang="en-US" sz="1100" i="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9/12/18</a:t>
          </a:r>
          <a:r>
            <a:rPr lang="en-US" sz="1100" baseline="0">
              <a:solidFill>
                <a:schemeClr val="dk1"/>
              </a:solidFill>
              <a:effectLst/>
              <a:latin typeface="+mn-lt"/>
              <a:ea typeface="+mn-ea"/>
              <a:cs typeface="+mn-cs"/>
            </a:rPr>
            <a:t> inventory from Alix. </a:t>
          </a:r>
          <a:r>
            <a:rPr lang="en-US" sz="1100">
              <a:solidFill>
                <a:schemeClr val="dk1"/>
              </a:solidFill>
              <a:effectLst/>
              <a:latin typeface="+mn-lt"/>
              <a:ea typeface="+mn-ea"/>
              <a:cs typeface="+mn-cs"/>
            </a:rPr>
            <a:t>It looks like we have about 200-250 each of white and color bags left.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8/26/20 Nicole:  As for bags, this is the inventory I got from CRBC earlier this year:</a:t>
          </a:r>
          <a:br>
            <a:rPr lang="en-US" sz="1100">
              <a:solidFill>
                <a:schemeClr val="dk1"/>
              </a:solidFill>
              <a:effectLst/>
              <a:latin typeface="+mn-lt"/>
              <a:ea typeface="+mn-ea"/>
              <a:cs typeface="+mn-cs"/>
            </a:rPr>
          </a:br>
          <a:r>
            <a:rPr lang="en-US" sz="1100">
              <a:solidFill>
                <a:schemeClr val="dk1"/>
              </a:solidFill>
              <a:effectLst/>
              <a:latin typeface="+mn-lt"/>
              <a:ea typeface="+mn-ea"/>
              <a:cs typeface="+mn-cs"/>
            </a:rPr>
            <a:t>SOLVE Bags – 157</a:t>
          </a:r>
          <a:br>
            <a:rPr lang="en-US" sz="1100">
              <a:solidFill>
                <a:schemeClr val="dk1"/>
              </a:solidFill>
              <a:effectLst/>
              <a:latin typeface="+mn-lt"/>
              <a:ea typeface="+mn-ea"/>
              <a:cs typeface="+mn-cs"/>
            </a:rPr>
          </a:br>
          <a:r>
            <a:rPr lang="en-US" sz="1100">
              <a:solidFill>
                <a:schemeClr val="dk1"/>
              </a:solidFill>
              <a:effectLst/>
              <a:latin typeface="+mn-lt"/>
              <a:ea typeface="+mn-ea"/>
              <a:cs typeface="+mn-cs"/>
            </a:rPr>
            <a:t>Blue Bags – 4</a:t>
          </a:r>
          <a:br>
            <a:rPr lang="en-US" sz="1100">
              <a:solidFill>
                <a:schemeClr val="dk1"/>
              </a:solidFill>
              <a:effectLst/>
              <a:latin typeface="+mn-lt"/>
              <a:ea typeface="+mn-ea"/>
              <a:cs typeface="+mn-cs"/>
            </a:rPr>
          </a:br>
          <a:r>
            <a:rPr lang="en-US" sz="1100">
              <a:solidFill>
                <a:schemeClr val="dk1"/>
              </a:solidFill>
              <a:effectLst/>
              <a:latin typeface="+mn-lt"/>
              <a:ea typeface="+mn-ea"/>
              <a:cs typeface="+mn-cs"/>
            </a:rPr>
            <a:t>Yellow Bags – 800</a:t>
          </a:r>
          <a:br>
            <a:rPr lang="en-US" sz="1100">
              <a:solidFill>
                <a:schemeClr val="dk1"/>
              </a:solidFill>
              <a:effectLst/>
              <a:latin typeface="+mn-lt"/>
              <a:ea typeface="+mn-ea"/>
              <a:cs typeface="+mn-cs"/>
            </a:rPr>
          </a:br>
          <a:r>
            <a:rPr lang="en-US" sz="1100">
              <a:solidFill>
                <a:schemeClr val="dk1"/>
              </a:solidFill>
              <a:effectLst/>
              <a:latin typeface="+mn-lt"/>
              <a:ea typeface="+mn-ea"/>
              <a:cs typeface="+mn-cs"/>
            </a:rPr>
            <a:t>Feed Bags - 47</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endParaRPr lang="en-US" sz="1100" i="1">
            <a:solidFill>
              <a:schemeClr val="dk1"/>
            </a:solidFill>
            <a:effectLst/>
            <a:latin typeface="+mn-lt"/>
            <a:ea typeface="+mn-ea"/>
            <a:cs typeface="+mn-cs"/>
          </a:endParaRPr>
        </a:p>
        <a:p>
          <a:r>
            <a:rPr lang="en-US" sz="1100">
              <a:solidFill>
                <a:schemeClr val="dk1"/>
              </a:solidFill>
              <a:effectLst/>
              <a:latin typeface="+mn-lt"/>
              <a:ea typeface="+mn-ea"/>
              <a:cs typeface="+mn-cs"/>
            </a:rPr>
            <a:t> </a:t>
          </a:r>
        </a:p>
        <a:p>
          <a:endParaRPr lang="en-US" sz="1100" i="0"/>
        </a:p>
      </xdr:txBody>
    </xdr:sp>
    <xdr:clientData/>
  </xdr:twoCellAnchor>
  <xdr:twoCellAnchor>
    <xdr:from>
      <xdr:col>8</xdr:col>
      <xdr:colOff>400050</xdr:colOff>
      <xdr:row>21</xdr:row>
      <xdr:rowOff>180975</xdr:rowOff>
    </xdr:from>
    <xdr:to>
      <xdr:col>14</xdr:col>
      <xdr:colOff>542925</xdr:colOff>
      <xdr:row>36</xdr:row>
      <xdr:rowOff>66675</xdr:rowOff>
    </xdr:to>
    <xdr:graphicFrame macro="">
      <xdr:nvGraphicFramePr>
        <xdr:cNvPr id="3" name="Chart 2">
          <a:extLst>
            <a:ext uri="{FF2B5EF4-FFF2-40B4-BE49-F238E27FC236}">
              <a16:creationId xmlns:a16="http://schemas.microsoft.com/office/drawing/2014/main" id="{00000000-0008-0000-07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11.xml><?xml version="1.0" encoding="utf-8"?>
<xdr:wsDr xmlns:xdr="http://schemas.openxmlformats.org/drawingml/2006/spreadsheetDrawing" xmlns:a="http://schemas.openxmlformats.org/drawingml/2006/main">
  <xdr:twoCellAnchor>
    <xdr:from>
      <xdr:col>16</xdr:col>
      <xdr:colOff>485775</xdr:colOff>
      <xdr:row>3</xdr:row>
      <xdr:rowOff>9525</xdr:rowOff>
    </xdr:from>
    <xdr:to>
      <xdr:col>24</xdr:col>
      <xdr:colOff>28575</xdr:colOff>
      <xdr:row>13</xdr:row>
      <xdr:rowOff>133350</xdr:rowOff>
    </xdr:to>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12153900" y="581025"/>
          <a:ext cx="4419600" cy="2028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Bag Inventory from Alix 8/7/17:</a:t>
          </a:r>
        </a:p>
        <a:p>
          <a:r>
            <a:rPr lang="en-US" sz="1100" i="1">
              <a:solidFill>
                <a:schemeClr val="dk1"/>
              </a:solidFill>
              <a:effectLst/>
              <a:latin typeface="+mn-lt"/>
              <a:ea typeface="+mn-ea"/>
              <a:cs typeface="+mn-cs"/>
            </a:rPr>
            <a:t>We still have five boxes of yellow bags, and we have three bags stuffed with yellow bags and one bag stuffed with blue bags. </a:t>
          </a:r>
        </a:p>
        <a:p>
          <a:endParaRPr lang="en-US" sz="1100" i="1">
            <a:solidFill>
              <a:schemeClr val="dk1"/>
            </a:solidFill>
            <a:effectLst/>
            <a:latin typeface="+mn-lt"/>
            <a:ea typeface="+mn-ea"/>
            <a:cs typeface="+mn-cs"/>
          </a:endParaRPr>
        </a:p>
        <a:p>
          <a:r>
            <a:rPr lang="en-US" sz="1100">
              <a:solidFill>
                <a:schemeClr val="dk1"/>
              </a:solidFill>
              <a:effectLst/>
              <a:latin typeface="+mn-lt"/>
              <a:ea typeface="+mn-ea"/>
              <a:cs typeface="+mn-cs"/>
            </a:rPr>
            <a:t>Bag Inventory from Suzi 9/19/17</a:t>
          </a:r>
        </a:p>
        <a:p>
          <a:r>
            <a:rPr lang="en-US" sz="1100" i="1">
              <a:solidFill>
                <a:schemeClr val="dk1"/>
              </a:solidFill>
              <a:effectLst/>
              <a:latin typeface="+mn-lt"/>
              <a:ea typeface="+mn-ea"/>
              <a:cs typeface="+mn-cs"/>
            </a:rPr>
            <a:t>We have about 2,000 (10boxes)</a:t>
          </a:r>
          <a:r>
            <a:rPr lang="en-US" sz="1100" i="1" baseline="0">
              <a:solidFill>
                <a:schemeClr val="dk1"/>
              </a:solidFill>
              <a:effectLst/>
              <a:latin typeface="+mn-lt"/>
              <a:ea typeface="+mn-ea"/>
              <a:cs typeface="+mn-cs"/>
            </a:rPr>
            <a:t> </a:t>
          </a:r>
          <a:r>
            <a:rPr lang="en-US" sz="1100" i="1">
              <a:solidFill>
                <a:schemeClr val="dk1"/>
              </a:solidFill>
              <a:effectLst/>
              <a:latin typeface="+mn-lt"/>
              <a:ea typeface="+mn-ea"/>
              <a:cs typeface="+mn-cs"/>
            </a:rPr>
            <a:t>yellow recycling bags left with 1,000 (5 boxes) older blue ones ricocheting back to us this week as well. </a:t>
          </a:r>
        </a:p>
        <a:p>
          <a:endParaRPr lang="en-US" sz="1100" i="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9/12/18</a:t>
          </a:r>
          <a:r>
            <a:rPr lang="en-US" sz="1100" baseline="0">
              <a:solidFill>
                <a:schemeClr val="dk1"/>
              </a:solidFill>
              <a:effectLst/>
              <a:latin typeface="+mn-lt"/>
              <a:ea typeface="+mn-ea"/>
              <a:cs typeface="+mn-cs"/>
            </a:rPr>
            <a:t> inventory from Alix. </a:t>
          </a:r>
          <a:r>
            <a:rPr lang="en-US" sz="1100">
              <a:solidFill>
                <a:schemeClr val="dk1"/>
              </a:solidFill>
              <a:effectLst/>
              <a:latin typeface="+mn-lt"/>
              <a:ea typeface="+mn-ea"/>
              <a:cs typeface="+mn-cs"/>
            </a:rPr>
            <a:t>It looks like we have about 200-250 each of white and color bags left. </a:t>
          </a:r>
        </a:p>
        <a:p>
          <a:endParaRPr lang="en-US" sz="1100" i="1">
            <a:solidFill>
              <a:schemeClr val="dk1"/>
            </a:solidFill>
            <a:effectLst/>
            <a:latin typeface="+mn-lt"/>
            <a:ea typeface="+mn-ea"/>
            <a:cs typeface="+mn-cs"/>
          </a:endParaRPr>
        </a:p>
        <a:p>
          <a:r>
            <a:rPr lang="en-US" sz="1100">
              <a:solidFill>
                <a:schemeClr val="dk1"/>
              </a:solidFill>
              <a:effectLst/>
              <a:latin typeface="+mn-lt"/>
              <a:ea typeface="+mn-ea"/>
              <a:cs typeface="+mn-cs"/>
            </a:rPr>
            <a:t> </a:t>
          </a:r>
        </a:p>
        <a:p>
          <a:endParaRPr lang="en-US" sz="1100" i="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16</xdr:col>
      <xdr:colOff>0</xdr:colOff>
      <xdr:row>4</xdr:row>
      <xdr:rowOff>114300</xdr:rowOff>
    </xdr:from>
    <xdr:to>
      <xdr:col>23</xdr:col>
      <xdr:colOff>152400</xdr:colOff>
      <xdr:row>13</xdr:row>
      <xdr:rowOff>66675</xdr:rowOff>
    </xdr:to>
    <xdr:sp macro="" textlink="">
      <xdr:nvSpPr>
        <xdr:cNvPr id="3" name="TextBox 2">
          <a:extLst>
            <a:ext uri="{FF2B5EF4-FFF2-40B4-BE49-F238E27FC236}">
              <a16:creationId xmlns:a16="http://schemas.microsoft.com/office/drawing/2014/main" id="{00000000-0008-0000-0900-000003000000}"/>
            </a:ext>
          </a:extLst>
        </xdr:cNvPr>
        <xdr:cNvSpPr txBox="1"/>
      </xdr:nvSpPr>
      <xdr:spPr>
        <a:xfrm>
          <a:off x="11572875" y="876300"/>
          <a:ext cx="4419600" cy="1666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Bag Inventory from Alix 8/7/17:</a:t>
          </a:r>
        </a:p>
        <a:p>
          <a:r>
            <a:rPr lang="en-US" sz="1100" i="1">
              <a:solidFill>
                <a:schemeClr val="dk1"/>
              </a:solidFill>
              <a:effectLst/>
              <a:latin typeface="+mn-lt"/>
              <a:ea typeface="+mn-ea"/>
              <a:cs typeface="+mn-cs"/>
            </a:rPr>
            <a:t>We still have five boxes of yellow bags, and we have three bags stuffed with yellow bags and one bag stuffed with blue bags. </a:t>
          </a:r>
        </a:p>
        <a:p>
          <a:endParaRPr lang="en-US" sz="1100" i="1">
            <a:solidFill>
              <a:schemeClr val="dk1"/>
            </a:solidFill>
            <a:effectLst/>
            <a:latin typeface="+mn-lt"/>
            <a:ea typeface="+mn-ea"/>
            <a:cs typeface="+mn-cs"/>
          </a:endParaRPr>
        </a:p>
        <a:p>
          <a:r>
            <a:rPr lang="en-US" sz="1100">
              <a:solidFill>
                <a:schemeClr val="dk1"/>
              </a:solidFill>
              <a:effectLst/>
              <a:latin typeface="+mn-lt"/>
              <a:ea typeface="+mn-ea"/>
              <a:cs typeface="+mn-cs"/>
            </a:rPr>
            <a:t>Bag Inventory from Suzi 9/19/17</a:t>
          </a:r>
        </a:p>
        <a:p>
          <a:r>
            <a:rPr lang="en-US" sz="1100" i="1">
              <a:solidFill>
                <a:schemeClr val="dk1"/>
              </a:solidFill>
              <a:effectLst/>
              <a:latin typeface="+mn-lt"/>
              <a:ea typeface="+mn-ea"/>
              <a:cs typeface="+mn-cs"/>
            </a:rPr>
            <a:t>We have about 2,000 (10boxes)</a:t>
          </a:r>
          <a:r>
            <a:rPr lang="en-US" sz="1100" i="1" baseline="0">
              <a:solidFill>
                <a:schemeClr val="dk1"/>
              </a:solidFill>
              <a:effectLst/>
              <a:latin typeface="+mn-lt"/>
              <a:ea typeface="+mn-ea"/>
              <a:cs typeface="+mn-cs"/>
            </a:rPr>
            <a:t> </a:t>
          </a:r>
          <a:r>
            <a:rPr lang="en-US" sz="1100" i="1">
              <a:solidFill>
                <a:schemeClr val="dk1"/>
              </a:solidFill>
              <a:effectLst/>
              <a:latin typeface="+mn-lt"/>
              <a:ea typeface="+mn-ea"/>
              <a:cs typeface="+mn-cs"/>
            </a:rPr>
            <a:t>yellow recycling bags left with 1,000 (5 boxes) older blue ones ricocheting back to us this week as well. </a:t>
          </a:r>
        </a:p>
        <a:p>
          <a:r>
            <a:rPr lang="en-US" sz="1100">
              <a:solidFill>
                <a:schemeClr val="dk1"/>
              </a:solidFill>
              <a:effectLst/>
              <a:latin typeface="+mn-lt"/>
              <a:ea typeface="+mn-ea"/>
              <a:cs typeface="+mn-cs"/>
            </a:rPr>
            <a:t> </a:t>
          </a:r>
        </a:p>
        <a:p>
          <a:endParaRPr lang="en-US" sz="1100" i="0"/>
        </a:p>
      </xdr:txBody>
    </xdr:sp>
    <xdr:clientData/>
  </xdr:twoCellAnchor>
  <xdr:twoCellAnchor>
    <xdr:from>
      <xdr:col>6</xdr:col>
      <xdr:colOff>571500</xdr:colOff>
      <xdr:row>14</xdr:row>
      <xdr:rowOff>1</xdr:rowOff>
    </xdr:from>
    <xdr:to>
      <xdr:col>15</xdr:col>
      <xdr:colOff>9525</xdr:colOff>
      <xdr:row>17</xdr:row>
      <xdr:rowOff>38101</xdr:rowOff>
    </xdr:to>
    <xdr:sp macro="" textlink="">
      <xdr:nvSpPr>
        <xdr:cNvPr id="4" name="TextBox 3">
          <a:extLst>
            <a:ext uri="{FF2B5EF4-FFF2-40B4-BE49-F238E27FC236}">
              <a16:creationId xmlns:a16="http://schemas.microsoft.com/office/drawing/2014/main" id="{00000000-0008-0000-0900-000004000000}"/>
            </a:ext>
          </a:extLst>
        </xdr:cNvPr>
        <xdr:cNvSpPr txBox="1"/>
      </xdr:nvSpPr>
      <xdr:spPr>
        <a:xfrm>
          <a:off x="6048375" y="2667001"/>
          <a:ext cx="4924425" cy="609600"/>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ysClr val="windowText" lastClr="000000"/>
              </a:solidFill>
            </a:rPr>
            <a:t>KB forgot to sort the bags.</a:t>
          </a:r>
          <a:r>
            <a:rPr lang="en-US" sz="1100" baseline="0">
              <a:solidFill>
                <a:sysClr val="windowText" lastClr="000000"/>
              </a:solidFill>
            </a:rPr>
            <a:t> The got any large metal (not sure if any existed) but it was not reported.   </a:t>
          </a:r>
          <a:endParaRPr lang="en-US" sz="1100">
            <a:solidFill>
              <a:sysClr val="windowText" lastClr="000000"/>
            </a:solidFill>
          </a:endParaRPr>
        </a:p>
      </xdr:txBody>
    </xdr:sp>
    <xdr:clientData/>
  </xdr:twoCellAnchor>
  <xdr:twoCellAnchor>
    <xdr:from>
      <xdr:col>6</xdr:col>
      <xdr:colOff>533400</xdr:colOff>
      <xdr:row>18</xdr:row>
      <xdr:rowOff>161925</xdr:rowOff>
    </xdr:from>
    <xdr:to>
      <xdr:col>11</xdr:col>
      <xdr:colOff>180975</xdr:colOff>
      <xdr:row>23</xdr:row>
      <xdr:rowOff>0</xdr:rowOff>
    </xdr:to>
    <xdr:sp macro="" textlink="">
      <xdr:nvSpPr>
        <xdr:cNvPr id="5" name="TextBox 4">
          <a:extLst>
            <a:ext uri="{FF2B5EF4-FFF2-40B4-BE49-F238E27FC236}">
              <a16:creationId xmlns:a16="http://schemas.microsoft.com/office/drawing/2014/main" id="{00000000-0008-0000-0900-000005000000}"/>
            </a:ext>
          </a:extLst>
        </xdr:cNvPr>
        <xdr:cNvSpPr txBox="1"/>
      </xdr:nvSpPr>
      <xdr:spPr>
        <a:xfrm>
          <a:off x="6010275" y="3590925"/>
          <a:ext cx="2695575" cy="790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From Jim Garcia WM:</a:t>
          </a:r>
        </a:p>
        <a:p>
          <a:r>
            <a:rPr lang="en-US" sz="1100">
              <a:solidFill>
                <a:schemeClr val="dk1"/>
              </a:solidFill>
              <a:effectLst/>
              <a:latin typeface="+mn-lt"/>
              <a:ea typeface="+mn-ea"/>
              <a:cs typeface="+mn-cs"/>
            </a:rPr>
            <a:t>KB Ticket #2170704 .52 tons- Riverside</a:t>
          </a:r>
        </a:p>
        <a:p>
          <a:r>
            <a:rPr lang="en-US" sz="1100">
              <a:solidFill>
                <a:schemeClr val="dk1"/>
              </a:solidFill>
              <a:effectLst/>
              <a:latin typeface="+mn-lt"/>
              <a:ea typeface="+mn-ea"/>
              <a:cs typeface="+mn-cs"/>
            </a:rPr>
            <a:t>Ticket #2170711  .56 tons- Barton</a:t>
          </a:r>
        </a:p>
        <a:p>
          <a:r>
            <a:rPr lang="en-US" sz="1100">
              <a:solidFill>
                <a:schemeClr val="dk1"/>
              </a:solidFill>
              <a:effectLst/>
              <a:latin typeface="+mn-lt"/>
              <a:ea typeface="+mn-ea"/>
              <a:cs typeface="+mn-cs"/>
            </a:rPr>
            <a:t>Ticket #2170872  .41 tons- Carver</a:t>
          </a:r>
        </a:p>
        <a:p>
          <a:r>
            <a:rPr lang="en-US" sz="1100">
              <a:solidFill>
                <a:schemeClr val="dk1"/>
              </a:solidFill>
              <a:effectLst/>
              <a:latin typeface="+mn-lt"/>
              <a:ea typeface="+mn-ea"/>
              <a:cs typeface="+mn-cs"/>
            </a:rPr>
            <a:t> </a:t>
          </a:r>
        </a:p>
        <a:p>
          <a:endParaRPr lang="en-US" sz="1100"/>
        </a:p>
        <a:p>
          <a:endParaRPr 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6</xdr:col>
      <xdr:colOff>196215</xdr:colOff>
      <xdr:row>16</xdr:row>
      <xdr:rowOff>161925</xdr:rowOff>
    </xdr:from>
    <xdr:to>
      <xdr:col>13</xdr:col>
      <xdr:colOff>501015</xdr:colOff>
      <xdr:row>32</xdr:row>
      <xdr:rowOff>161925</xdr:rowOff>
    </xdr:to>
    <xdr:graphicFrame macro="">
      <xdr:nvGraphicFramePr>
        <xdr:cNvPr id="2" name="Chart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0.03333</cdr:x>
      <cdr:y>0</cdr:y>
    </cdr:from>
    <cdr:to>
      <cdr:x>0.52333</cdr:x>
      <cdr:y>0.13333</cdr:y>
    </cdr:to>
    <cdr:sp macro="" textlink="">
      <cdr:nvSpPr>
        <cdr:cNvPr id="3" name="TextBox 2"/>
        <cdr:cNvSpPr txBox="1"/>
      </cdr:nvSpPr>
      <cdr:spPr>
        <a:xfrm xmlns:a="http://schemas.openxmlformats.org/drawingml/2006/main">
          <a:off x="152400" y="0"/>
          <a:ext cx="2240280" cy="36576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400" b="1"/>
            <a:t>2016 Recovery by Material</a:t>
          </a:r>
        </a:p>
      </cdr:txBody>
    </cdr:sp>
  </cdr:relSizeAnchor>
</c:userShapes>
</file>

<file path=xl/drawings/drawing15.xml><?xml version="1.0" encoding="utf-8"?>
<xdr:wsDr xmlns:xdr="http://schemas.openxmlformats.org/drawingml/2006/spreadsheetDrawing" xmlns:a="http://schemas.openxmlformats.org/drawingml/2006/main">
  <xdr:twoCellAnchor>
    <xdr:from>
      <xdr:col>4</xdr:col>
      <xdr:colOff>472440</xdr:colOff>
      <xdr:row>16</xdr:row>
      <xdr:rowOff>38100</xdr:rowOff>
    </xdr:from>
    <xdr:to>
      <xdr:col>12</xdr:col>
      <xdr:colOff>167640</xdr:colOff>
      <xdr:row>31</xdr:row>
      <xdr:rowOff>38100</xdr:rowOff>
    </xdr:to>
    <xdr:graphicFrame macro="">
      <xdr:nvGraphicFramePr>
        <xdr:cNvPr id="2" name="Chart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114300</xdr:colOff>
      <xdr:row>0</xdr:row>
      <xdr:rowOff>142875</xdr:rowOff>
    </xdr:from>
    <xdr:to>
      <xdr:col>13</xdr:col>
      <xdr:colOff>266700</xdr:colOff>
      <xdr:row>5</xdr:row>
      <xdr:rowOff>123825</xdr:rowOff>
    </xdr:to>
    <xdr:sp macro="" textlink="">
      <xdr:nvSpPr>
        <xdr:cNvPr id="5" name="TextBox 4">
          <a:extLst>
            <a:ext uri="{FF2B5EF4-FFF2-40B4-BE49-F238E27FC236}">
              <a16:creationId xmlns:a16="http://schemas.microsoft.com/office/drawing/2014/main" id="{00000000-0008-0000-0B00-000005000000}"/>
            </a:ext>
          </a:extLst>
        </xdr:cNvPr>
        <xdr:cNvSpPr txBox="1"/>
      </xdr:nvSpPr>
      <xdr:spPr>
        <a:xfrm>
          <a:off x="4981575" y="142875"/>
          <a:ext cx="5029200" cy="9334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From Jon @ KB Recycling:</a:t>
          </a:r>
        </a:p>
        <a:p>
          <a:r>
            <a:rPr lang="en-US" sz="1100">
              <a:solidFill>
                <a:schemeClr val="dk1"/>
              </a:solidFill>
              <a:effectLst/>
              <a:latin typeface="+mn-lt"/>
              <a:ea typeface="+mn-ea"/>
              <a:cs typeface="+mn-cs"/>
            </a:rPr>
            <a:t>A total Weight of 3800 lbs came in between the 4 boxes.</a:t>
          </a:r>
        </a:p>
        <a:p>
          <a:r>
            <a:rPr lang="en-US" sz="1100">
              <a:solidFill>
                <a:schemeClr val="dk1"/>
              </a:solidFill>
              <a:effectLst/>
              <a:latin typeface="+mn-lt"/>
              <a:ea typeface="+mn-ea"/>
              <a:cs typeface="+mn-cs"/>
            </a:rPr>
            <a:t>From that material, we were able to recover 3,117 lbs of material that is recyclable.</a:t>
          </a:r>
        </a:p>
        <a:p>
          <a:r>
            <a:rPr lang="en-US" sz="1100">
              <a:solidFill>
                <a:schemeClr val="dk1"/>
              </a:solidFill>
              <a:effectLst/>
              <a:latin typeface="+mn-lt"/>
              <a:ea typeface="+mn-ea"/>
              <a:cs typeface="+mn-cs"/>
            </a:rPr>
            <a:t>Leaving a total of 683 lbs. of MSW from the boxes received.</a:t>
          </a:r>
        </a:p>
        <a:p>
          <a:endParaRPr lang="en-US" sz="1100"/>
        </a:p>
      </xdr:txBody>
    </xdr:sp>
    <xdr:clientData/>
  </xdr:twoCellAnchor>
  <xdr:absoluteAnchor>
    <xdr:pos x="4257675" y="6286500"/>
    <xdr:ext cx="5086350" cy="3683557"/>
    <xdr:graphicFrame macro="">
      <xdr:nvGraphicFramePr>
        <xdr:cNvPr id="4" name="Chart 3">
          <a:extLst>
            <a:ext uri="{FF2B5EF4-FFF2-40B4-BE49-F238E27FC236}">
              <a16:creationId xmlns:a16="http://schemas.microsoft.com/office/drawing/2014/main" id="{00000000-0008-0000-0B00-000004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wsDr>
</file>

<file path=xl/drawings/drawing16.xml><?xml version="1.0" encoding="utf-8"?>
<c:userShapes xmlns:c="http://schemas.openxmlformats.org/drawingml/2006/chart">
  <cdr:relSizeAnchor xmlns:cdr="http://schemas.openxmlformats.org/drawingml/2006/chartDrawing">
    <cdr:from>
      <cdr:x>0.03333</cdr:x>
      <cdr:y>0</cdr:y>
    </cdr:from>
    <cdr:to>
      <cdr:x>0.52333</cdr:x>
      <cdr:y>0.13333</cdr:y>
    </cdr:to>
    <cdr:sp macro="" textlink="">
      <cdr:nvSpPr>
        <cdr:cNvPr id="3" name="TextBox 2"/>
        <cdr:cNvSpPr txBox="1"/>
      </cdr:nvSpPr>
      <cdr:spPr>
        <a:xfrm xmlns:a="http://schemas.openxmlformats.org/drawingml/2006/main">
          <a:off x="152400" y="0"/>
          <a:ext cx="2240280" cy="36576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400" b="1"/>
            <a:t>2015 Recovery by Material</a:t>
          </a:r>
        </a:p>
      </cdr:txBody>
    </cdr:sp>
  </cdr:relSizeAnchor>
</c:userShapes>
</file>

<file path=xl/drawings/drawing17.xml><?xml version="1.0" encoding="utf-8"?>
<c:userShapes xmlns:c="http://schemas.openxmlformats.org/drawingml/2006/chart">
  <cdr:relSizeAnchor xmlns:cdr="http://schemas.openxmlformats.org/drawingml/2006/chartDrawing">
    <cdr:from>
      <cdr:x>0</cdr:x>
      <cdr:y>0</cdr:y>
    </cdr:from>
    <cdr:to>
      <cdr:x>0.00533</cdr:x>
      <cdr:y>0.00889</cdr:y>
    </cdr:to>
    <cdr:pic>
      <cdr:nvPicPr>
        <cdr:cNvPr id="2" name="chart">
          <a:extLst xmlns:a="http://schemas.openxmlformats.org/drawingml/2006/main">
            <a:ext uri="{FF2B5EF4-FFF2-40B4-BE49-F238E27FC236}">
              <a16:creationId xmlns:a16="http://schemas.microsoft.com/office/drawing/2014/main" id="{754EC1F3-92ED-E46D-7F4E-14EAA798F4F0}"/>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0.035</cdr:x>
      <cdr:y>0.05556</cdr:y>
    </cdr:from>
    <cdr:to>
      <cdr:x>0.46</cdr:x>
      <cdr:y>0.18056</cdr:y>
    </cdr:to>
    <cdr:sp macro="" textlink="">
      <cdr:nvSpPr>
        <cdr:cNvPr id="3" name="TextBox 2"/>
        <cdr:cNvSpPr txBox="1"/>
      </cdr:nvSpPr>
      <cdr:spPr>
        <a:xfrm xmlns:a="http://schemas.openxmlformats.org/drawingml/2006/main">
          <a:off x="160020" y="152400"/>
          <a:ext cx="1943100" cy="3429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400" b="1"/>
            <a:t>2015 Overall Recovery</a:t>
          </a:r>
        </a:p>
      </cdr:txBody>
    </cdr:sp>
  </cdr:relSizeAnchor>
  <cdr:relSizeAnchor xmlns:cdr="http://schemas.openxmlformats.org/drawingml/2006/chartDrawing">
    <cdr:from>
      <cdr:x>0.02667</cdr:x>
      <cdr:y>0.63611</cdr:y>
    </cdr:from>
    <cdr:to>
      <cdr:x>0.33667</cdr:x>
      <cdr:y>0.98056</cdr:y>
    </cdr:to>
    <cdr:sp macro="" textlink="">
      <cdr:nvSpPr>
        <cdr:cNvPr id="4" name="TextBox 3"/>
        <cdr:cNvSpPr txBox="1"/>
      </cdr:nvSpPr>
      <cdr:spPr>
        <a:xfrm xmlns:a="http://schemas.openxmlformats.org/drawingml/2006/main">
          <a:off x="121920" y="1744980"/>
          <a:ext cx="1417320" cy="9448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18.xml><?xml version="1.0" encoding="utf-8"?>
<xdr:wsDr xmlns:xdr="http://schemas.openxmlformats.org/drawingml/2006/spreadsheetDrawing" xmlns:a="http://schemas.openxmlformats.org/drawingml/2006/main">
  <xdr:twoCellAnchor>
    <xdr:from>
      <xdr:col>4</xdr:col>
      <xdr:colOff>472440</xdr:colOff>
      <xdr:row>16</xdr:row>
      <xdr:rowOff>38100</xdr:rowOff>
    </xdr:from>
    <xdr:to>
      <xdr:col>12</xdr:col>
      <xdr:colOff>167640</xdr:colOff>
      <xdr:row>31</xdr:row>
      <xdr:rowOff>38100</xdr:rowOff>
    </xdr:to>
    <xdr:graphicFrame macro="">
      <xdr:nvGraphicFramePr>
        <xdr:cNvPr id="5" name="Chart 4">
          <a:extLst>
            <a:ext uri="{FF2B5EF4-FFF2-40B4-BE49-F238E27FC236}">
              <a16:creationId xmlns:a16="http://schemas.microsoft.com/office/drawing/2014/main" id="{00000000-0008-0000-0C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236220</xdr:colOff>
      <xdr:row>31</xdr:row>
      <xdr:rowOff>114300</xdr:rowOff>
    </xdr:from>
    <xdr:to>
      <xdr:col>11</xdr:col>
      <xdr:colOff>541020</xdr:colOff>
      <xdr:row>46</xdr:row>
      <xdr:rowOff>114300</xdr:rowOff>
    </xdr:to>
    <xdr:graphicFrame macro="">
      <xdr:nvGraphicFramePr>
        <xdr:cNvPr id="6" name="Chart 5">
          <a:extLst>
            <a:ext uri="{FF2B5EF4-FFF2-40B4-BE49-F238E27FC236}">
              <a16:creationId xmlns:a16="http://schemas.microsoft.com/office/drawing/2014/main" id="{00000000-0008-0000-0C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83820</xdr:colOff>
      <xdr:row>41</xdr:row>
      <xdr:rowOff>22860</xdr:rowOff>
    </xdr:from>
    <xdr:to>
      <xdr:col>4</xdr:col>
      <xdr:colOff>312420</xdr:colOff>
      <xdr:row>56</xdr:row>
      <xdr:rowOff>22860</xdr:rowOff>
    </xdr:to>
    <xdr:graphicFrame macro="">
      <xdr:nvGraphicFramePr>
        <xdr:cNvPr id="7" name="Chart 6">
          <a:extLst>
            <a:ext uri="{FF2B5EF4-FFF2-40B4-BE49-F238E27FC236}">
              <a16:creationId xmlns:a16="http://schemas.microsoft.com/office/drawing/2014/main" id="{00000000-0008-0000-0C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0.03333</cdr:x>
      <cdr:y>0</cdr:y>
    </cdr:from>
    <cdr:to>
      <cdr:x>0.52333</cdr:x>
      <cdr:y>0.13333</cdr:y>
    </cdr:to>
    <cdr:sp macro="" textlink="">
      <cdr:nvSpPr>
        <cdr:cNvPr id="3" name="TextBox 2"/>
        <cdr:cNvSpPr txBox="1"/>
      </cdr:nvSpPr>
      <cdr:spPr>
        <a:xfrm xmlns:a="http://schemas.openxmlformats.org/drawingml/2006/main">
          <a:off x="152400" y="0"/>
          <a:ext cx="2240280" cy="36576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400" b="1"/>
            <a:t>2014 Recovery by Material</a:t>
          </a:r>
        </a:p>
      </cdr:txBody>
    </cdr:sp>
  </cdr:relSizeAnchor>
</c:userShapes>
</file>

<file path=xl/drawings/drawing2.xml><?xml version="1.0" encoding="utf-8"?>
<xdr:wsDr xmlns:xdr="http://schemas.openxmlformats.org/drawingml/2006/spreadsheetDrawing" xmlns:a="http://schemas.openxmlformats.org/drawingml/2006/main">
  <xdr:twoCellAnchor>
    <xdr:from>
      <xdr:col>2</xdr:col>
      <xdr:colOff>548640</xdr:colOff>
      <xdr:row>3</xdr:row>
      <xdr:rowOff>129540</xdr:rowOff>
    </xdr:from>
    <xdr:to>
      <xdr:col>20</xdr:col>
      <xdr:colOff>571500</xdr:colOff>
      <xdr:row>34</xdr:row>
      <xdr:rowOff>60960</xdr:rowOff>
    </xdr:to>
    <xdr:graphicFrame macro="">
      <xdr:nvGraphicFramePr>
        <xdr:cNvPr id="4" name="Chart 3">
          <a:extLst>
            <a:ext uri="{FF2B5EF4-FFF2-40B4-BE49-F238E27FC236}">
              <a16:creationId xmlns:a16="http://schemas.microsoft.com/office/drawing/2014/main" id="{FB9D0133-D5E8-463D-8879-23FF590939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c:userShapes xmlns:c="http://schemas.openxmlformats.org/drawingml/2006/chart">
  <cdr:relSizeAnchor xmlns:cdr="http://schemas.openxmlformats.org/drawingml/2006/chartDrawing">
    <cdr:from>
      <cdr:x>0</cdr:x>
      <cdr:y>0</cdr:y>
    </cdr:from>
    <cdr:to>
      <cdr:x>0.00533</cdr:x>
      <cdr:y>0.00889</cdr:y>
    </cdr:to>
    <cdr:pic>
      <cdr:nvPicPr>
        <cdr:cNvPr id="2" name="chart">
          <a:extLst xmlns:a="http://schemas.openxmlformats.org/drawingml/2006/main">
            <a:ext uri="{FF2B5EF4-FFF2-40B4-BE49-F238E27FC236}">
              <a16:creationId xmlns:a16="http://schemas.microsoft.com/office/drawing/2014/main" id="{EFCF4B81-F9FA-9169-99E3-035CDAAE23A7}"/>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0.035</cdr:x>
      <cdr:y>0.05556</cdr:y>
    </cdr:from>
    <cdr:to>
      <cdr:x>0.46</cdr:x>
      <cdr:y>0.18056</cdr:y>
    </cdr:to>
    <cdr:sp macro="" textlink="">
      <cdr:nvSpPr>
        <cdr:cNvPr id="3" name="TextBox 2"/>
        <cdr:cNvSpPr txBox="1"/>
      </cdr:nvSpPr>
      <cdr:spPr>
        <a:xfrm xmlns:a="http://schemas.openxmlformats.org/drawingml/2006/main">
          <a:off x="160020" y="152400"/>
          <a:ext cx="1943100" cy="3429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400" b="1"/>
            <a:t>2014 Overall Recovery</a:t>
          </a:r>
        </a:p>
      </cdr:txBody>
    </cdr:sp>
  </cdr:relSizeAnchor>
  <cdr:relSizeAnchor xmlns:cdr="http://schemas.openxmlformats.org/drawingml/2006/chartDrawing">
    <cdr:from>
      <cdr:x>0.02667</cdr:x>
      <cdr:y>0.63611</cdr:y>
    </cdr:from>
    <cdr:to>
      <cdr:x>0.33667</cdr:x>
      <cdr:y>0.98056</cdr:y>
    </cdr:to>
    <cdr:sp macro="" textlink="">
      <cdr:nvSpPr>
        <cdr:cNvPr id="4" name="TextBox 3"/>
        <cdr:cNvSpPr txBox="1"/>
      </cdr:nvSpPr>
      <cdr:spPr>
        <a:xfrm xmlns:a="http://schemas.openxmlformats.org/drawingml/2006/main">
          <a:off x="121920" y="1744980"/>
          <a:ext cx="1417320" cy="9448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21.xml><?xml version="1.0" encoding="utf-8"?>
<c:userShapes xmlns:c="http://schemas.openxmlformats.org/drawingml/2006/chart">
  <cdr:relSizeAnchor xmlns:cdr="http://schemas.openxmlformats.org/drawingml/2006/chartDrawing">
    <cdr:from>
      <cdr:x>0.02167</cdr:x>
      <cdr:y>0.03611</cdr:y>
    </cdr:from>
    <cdr:to>
      <cdr:x>0.34</cdr:x>
      <cdr:y>0.23611</cdr:y>
    </cdr:to>
    <cdr:sp macro="" textlink="">
      <cdr:nvSpPr>
        <cdr:cNvPr id="2" name="TextBox 1"/>
        <cdr:cNvSpPr txBox="1"/>
      </cdr:nvSpPr>
      <cdr:spPr>
        <a:xfrm xmlns:a="http://schemas.openxmlformats.org/drawingml/2006/main">
          <a:off x="99060" y="99060"/>
          <a:ext cx="1455420" cy="5486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400" b="1"/>
            <a:t>2014 Delivery to</a:t>
          </a:r>
        </a:p>
        <a:p xmlns:a="http://schemas.openxmlformats.org/drawingml/2006/main">
          <a:r>
            <a:rPr lang="en-US" sz="1400" b="1"/>
            <a:t> KB</a:t>
          </a:r>
          <a:r>
            <a:rPr lang="en-US" sz="1400" b="1" baseline="0"/>
            <a:t> Recycling</a:t>
          </a:r>
          <a:endParaRPr lang="en-US" sz="1400" b="1"/>
        </a:p>
      </cdr:txBody>
    </cdr:sp>
  </cdr:relSizeAnchor>
  <cdr:relSizeAnchor xmlns:cdr="http://schemas.openxmlformats.org/drawingml/2006/chartDrawing">
    <cdr:from>
      <cdr:x>0.00333</cdr:x>
      <cdr:y>0.81111</cdr:y>
    </cdr:from>
    <cdr:to>
      <cdr:x>0.43833</cdr:x>
      <cdr:y>0.99444</cdr:y>
    </cdr:to>
    <cdr:sp macro="" textlink="">
      <cdr:nvSpPr>
        <cdr:cNvPr id="3" name="TextBox 2"/>
        <cdr:cNvSpPr txBox="1"/>
      </cdr:nvSpPr>
      <cdr:spPr>
        <a:xfrm xmlns:a="http://schemas.openxmlformats.org/drawingml/2006/main">
          <a:off x="15240" y="2225040"/>
          <a:ext cx="1988820" cy="5029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91% Recovery from material delivered to KB</a:t>
          </a:r>
          <a:r>
            <a:rPr lang="en-US" sz="1100" baseline="0"/>
            <a:t> Recycling. </a:t>
          </a:r>
          <a:endParaRPr lang="en-US" sz="1100"/>
        </a:p>
      </cdr:txBody>
    </cdr:sp>
  </cdr:relSizeAnchor>
  <cdr:relSizeAnchor xmlns:cdr="http://schemas.openxmlformats.org/drawingml/2006/chartDrawing">
    <cdr:from>
      <cdr:x>0.58333</cdr:x>
      <cdr:y>0.825</cdr:y>
    </cdr:from>
    <cdr:to>
      <cdr:x>1</cdr:x>
      <cdr:y>0.98889</cdr:y>
    </cdr:to>
    <cdr:sp macro="" textlink="">
      <cdr:nvSpPr>
        <cdr:cNvPr id="4" name="TextBox 3"/>
        <cdr:cNvSpPr txBox="1"/>
      </cdr:nvSpPr>
      <cdr:spPr>
        <a:xfrm xmlns:a="http://schemas.openxmlformats.org/drawingml/2006/main">
          <a:off x="2667000" y="2263140"/>
          <a:ext cx="1905000" cy="4495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1100">
              <a:latin typeface="+mn-lt"/>
              <a:ea typeface="+mn-ea"/>
              <a:cs typeface="+mn-cs"/>
            </a:rPr>
            <a:t>Barton</a:t>
          </a:r>
          <a:r>
            <a:rPr lang="en-US" sz="1100" baseline="0">
              <a:latin typeface="+mn-lt"/>
              <a:ea typeface="+mn-ea"/>
              <a:cs typeface="+mn-cs"/>
            </a:rPr>
            <a:t> and Carver boxes were not delivered to KB Recycling.</a:t>
          </a:r>
          <a:endParaRPr lang="en-US" sz="1100">
            <a:latin typeface="+mn-lt"/>
            <a:ea typeface="+mn-ea"/>
            <a:cs typeface="+mn-cs"/>
          </a:endParaRPr>
        </a:p>
        <a:p xmlns:a="http://schemas.openxmlformats.org/drawingml/2006/main">
          <a:endParaRPr lang="en-US" sz="1100"/>
        </a:p>
      </cdr:txBody>
    </cdr:sp>
  </cdr:relSizeAnchor>
</c:userShapes>
</file>

<file path=xl/drawings/drawing22.xml><?xml version="1.0" encoding="utf-8"?>
<xdr:wsDr xmlns:xdr="http://schemas.openxmlformats.org/drawingml/2006/spreadsheetDrawing" xmlns:a="http://schemas.openxmlformats.org/drawingml/2006/main">
  <xdr:twoCellAnchor>
    <xdr:from>
      <xdr:col>6</xdr:col>
      <xdr:colOff>0</xdr:colOff>
      <xdr:row>13</xdr:row>
      <xdr:rowOff>0</xdr:rowOff>
    </xdr:from>
    <xdr:to>
      <xdr:col>14</xdr:col>
      <xdr:colOff>386715</xdr:colOff>
      <xdr:row>23</xdr:row>
      <xdr:rowOff>108585</xdr:rowOff>
    </xdr:to>
    <xdr:sp macro="" textlink="">
      <xdr:nvSpPr>
        <xdr:cNvPr id="2" name="TextBox 1">
          <a:extLst>
            <a:ext uri="{FF2B5EF4-FFF2-40B4-BE49-F238E27FC236}">
              <a16:creationId xmlns:a16="http://schemas.microsoft.com/office/drawing/2014/main" id="{00000000-0008-0000-0D00-000002000000}"/>
            </a:ext>
          </a:extLst>
        </xdr:cNvPr>
        <xdr:cNvSpPr txBox="1"/>
      </xdr:nvSpPr>
      <xdr:spPr>
        <a:xfrm>
          <a:off x="5476875" y="2514600"/>
          <a:ext cx="5263515" cy="20135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2013</a:t>
          </a:r>
        </a:p>
        <a:p>
          <a:r>
            <a:rPr lang="en-US" sz="1100"/>
            <a:t>There was a box delivered to Barton and it</a:t>
          </a:r>
          <a:r>
            <a:rPr lang="en-US" sz="1100" baseline="0"/>
            <a:t> collected some material from somebody up there.  But we could certainly take those pounds out of the equation if you don't think anyone sanctioned used the box.  This box and the Barton to Carver box both went as garbage.</a:t>
          </a:r>
        </a:p>
        <a:p>
          <a:endParaRPr lang="en-US" sz="1100" baseline="0"/>
        </a:p>
        <a:p>
          <a:r>
            <a:rPr lang="en-US" sz="1100" baseline="0"/>
            <a:t>Of the remaining 2 boxes, 3,880 pounds were delivered to be sorted. 2,020 pounds were recovered for a rate of 52%.  </a:t>
          </a:r>
        </a:p>
        <a:p>
          <a:endParaRPr lang="en-US" sz="1100"/>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209549</xdr:colOff>
      <xdr:row>23</xdr:row>
      <xdr:rowOff>152400</xdr:rowOff>
    </xdr:from>
    <xdr:to>
      <xdr:col>5</xdr:col>
      <xdr:colOff>533400</xdr:colOff>
      <xdr:row>28</xdr:row>
      <xdr:rowOff>19050</xdr:rowOff>
    </xdr:to>
    <xdr:sp macro="" textlink="">
      <xdr:nvSpPr>
        <xdr:cNvPr id="2" name="TextBox 1">
          <a:extLst>
            <a:ext uri="{FF2B5EF4-FFF2-40B4-BE49-F238E27FC236}">
              <a16:creationId xmlns:a16="http://schemas.microsoft.com/office/drawing/2014/main" id="{00000000-0008-0000-0E00-000002000000}"/>
            </a:ext>
          </a:extLst>
        </xdr:cNvPr>
        <xdr:cNvSpPr txBox="1"/>
      </xdr:nvSpPr>
      <xdr:spPr>
        <a:xfrm>
          <a:off x="209549" y="4295775"/>
          <a:ext cx="5238751"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a:t>
          </a:r>
          <a:r>
            <a:rPr lang="en-US" sz="1100">
              <a:solidFill>
                <a:schemeClr val="dk1"/>
              </a:solidFill>
              <a:latin typeface="+mn-lt"/>
              <a:ea typeface="+mn-ea"/>
              <a:cs typeface="+mn-cs"/>
            </a:rPr>
            <a:t>Based on the tons sent for disposal the </a:t>
          </a:r>
          <a:r>
            <a:rPr lang="en-US" sz="1100" b="1">
              <a:solidFill>
                <a:schemeClr val="dk1"/>
              </a:solidFill>
              <a:latin typeface="+mn-lt"/>
              <a:ea typeface="+mn-ea"/>
              <a:cs typeface="+mn-cs"/>
            </a:rPr>
            <a:t>Total</a:t>
          </a:r>
          <a:r>
            <a:rPr lang="en-US" sz="1100" b="1" baseline="0">
              <a:solidFill>
                <a:schemeClr val="dk1"/>
              </a:solidFill>
              <a:latin typeface="+mn-lt"/>
              <a:ea typeface="+mn-ea"/>
              <a:cs typeface="+mn-cs"/>
            </a:rPr>
            <a:t> Pounds</a:t>
          </a:r>
          <a:r>
            <a:rPr lang="en-US" sz="1100">
              <a:solidFill>
                <a:schemeClr val="dk1"/>
              </a:solidFill>
              <a:latin typeface="+mn-lt"/>
              <a:ea typeface="+mn-ea"/>
              <a:cs typeface="+mn-cs"/>
            </a:rPr>
            <a:t> number may be overstated by approximately 300 pounds. Given the difficulty of isolating particular materials in the facility this is reasonable. The relative percentages of recyclable materials collected can be assumed to be accurate. </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53340</xdr:colOff>
      <xdr:row>2</xdr:row>
      <xdr:rowOff>22860</xdr:rowOff>
    </xdr:from>
    <xdr:to>
      <xdr:col>20</xdr:col>
      <xdr:colOff>449580</xdr:colOff>
      <xdr:row>35</xdr:row>
      <xdr:rowOff>129540</xdr:rowOff>
    </xdr:to>
    <xdr:graphicFrame macro="">
      <xdr:nvGraphicFramePr>
        <xdr:cNvPr id="3" name="Chart 2">
          <a:extLst>
            <a:ext uri="{FF2B5EF4-FFF2-40B4-BE49-F238E27FC236}">
              <a16:creationId xmlns:a16="http://schemas.microsoft.com/office/drawing/2014/main" id="{7FA177A6-FB08-41D8-A3BA-7E144B9752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1</xdr:row>
      <xdr:rowOff>0</xdr:rowOff>
    </xdr:from>
    <xdr:to>
      <xdr:col>21</xdr:col>
      <xdr:colOff>22860</xdr:colOff>
      <xdr:row>31</xdr:row>
      <xdr:rowOff>91440</xdr:rowOff>
    </xdr:to>
    <xdr:graphicFrame macro="">
      <xdr:nvGraphicFramePr>
        <xdr:cNvPr id="3" name="Chart 2">
          <a:extLst>
            <a:ext uri="{FF2B5EF4-FFF2-40B4-BE49-F238E27FC236}">
              <a16:creationId xmlns:a16="http://schemas.microsoft.com/office/drawing/2014/main" id="{F627DE56-95E2-495F-ACE5-5F4D69245D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16</xdr:col>
      <xdr:colOff>152400</xdr:colOff>
      <xdr:row>7</xdr:row>
      <xdr:rowOff>19050</xdr:rowOff>
    </xdr:from>
    <xdr:to>
      <xdr:col>23</xdr:col>
      <xdr:colOff>76200</xdr:colOff>
      <xdr:row>16</xdr:row>
      <xdr:rowOff>171450</xdr:rowOff>
    </xdr:to>
    <xdr:sp macro="" textlink="">
      <xdr:nvSpPr>
        <xdr:cNvPr id="3" name="TextBox 2">
          <a:extLst>
            <a:ext uri="{FF2B5EF4-FFF2-40B4-BE49-F238E27FC236}">
              <a16:creationId xmlns:a16="http://schemas.microsoft.com/office/drawing/2014/main" id="{C2F3943A-6E50-4423-A012-5295C552269E}"/>
            </a:ext>
          </a:extLst>
        </xdr:cNvPr>
        <xdr:cNvSpPr txBox="1"/>
      </xdr:nvSpPr>
      <xdr:spPr>
        <a:xfrm>
          <a:off x="14411325" y="1352550"/>
          <a:ext cx="4457700" cy="1866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Canceled event in 2020: Covid 19</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8/26/20 Nicole:  As for bags, this is the inventory I got from CRBC earlier this year:</a:t>
          </a:r>
          <a:br>
            <a:rPr lang="en-US" sz="1100">
              <a:solidFill>
                <a:schemeClr val="dk1"/>
              </a:solidFill>
              <a:effectLst/>
              <a:latin typeface="+mn-lt"/>
              <a:ea typeface="+mn-ea"/>
              <a:cs typeface="+mn-cs"/>
            </a:rPr>
          </a:br>
          <a:r>
            <a:rPr lang="en-US" sz="1100">
              <a:solidFill>
                <a:schemeClr val="dk1"/>
              </a:solidFill>
              <a:effectLst/>
              <a:latin typeface="+mn-lt"/>
              <a:ea typeface="+mn-ea"/>
              <a:cs typeface="+mn-cs"/>
            </a:rPr>
            <a:t>SOLVE Bags – 157</a:t>
          </a:r>
          <a:br>
            <a:rPr lang="en-US" sz="1100">
              <a:solidFill>
                <a:schemeClr val="dk1"/>
              </a:solidFill>
              <a:effectLst/>
              <a:latin typeface="+mn-lt"/>
              <a:ea typeface="+mn-ea"/>
              <a:cs typeface="+mn-cs"/>
            </a:rPr>
          </a:br>
          <a:r>
            <a:rPr lang="en-US" sz="1100">
              <a:solidFill>
                <a:schemeClr val="dk1"/>
              </a:solidFill>
              <a:effectLst/>
              <a:latin typeface="+mn-lt"/>
              <a:ea typeface="+mn-ea"/>
              <a:cs typeface="+mn-cs"/>
            </a:rPr>
            <a:t>Blue Bags – 4</a:t>
          </a:r>
          <a:br>
            <a:rPr lang="en-US" sz="1100">
              <a:solidFill>
                <a:schemeClr val="dk1"/>
              </a:solidFill>
              <a:effectLst/>
              <a:latin typeface="+mn-lt"/>
              <a:ea typeface="+mn-ea"/>
              <a:cs typeface="+mn-cs"/>
            </a:rPr>
          </a:br>
          <a:r>
            <a:rPr lang="en-US" sz="1100">
              <a:solidFill>
                <a:schemeClr val="dk1"/>
              </a:solidFill>
              <a:effectLst/>
              <a:latin typeface="+mn-lt"/>
              <a:ea typeface="+mn-ea"/>
              <a:cs typeface="+mn-cs"/>
            </a:rPr>
            <a:t>Yellow Bags – 800</a:t>
          </a:r>
          <a:br>
            <a:rPr lang="en-US" sz="1100">
              <a:solidFill>
                <a:schemeClr val="dk1"/>
              </a:solidFill>
              <a:effectLst/>
              <a:latin typeface="+mn-lt"/>
              <a:ea typeface="+mn-ea"/>
              <a:cs typeface="+mn-cs"/>
            </a:rPr>
          </a:br>
          <a:r>
            <a:rPr lang="en-US" sz="1100">
              <a:solidFill>
                <a:schemeClr val="dk1"/>
              </a:solidFill>
              <a:effectLst/>
              <a:latin typeface="+mn-lt"/>
              <a:ea typeface="+mn-ea"/>
              <a:cs typeface="+mn-cs"/>
            </a:rPr>
            <a:t>Feed Bags - 47</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endParaRPr lang="en-US" sz="1100" i="1">
            <a:solidFill>
              <a:schemeClr val="dk1"/>
            </a:solidFill>
            <a:effectLst/>
            <a:latin typeface="+mn-lt"/>
            <a:ea typeface="+mn-ea"/>
            <a:cs typeface="+mn-cs"/>
          </a:endParaRPr>
        </a:p>
        <a:p>
          <a:r>
            <a:rPr lang="en-US" sz="1100">
              <a:solidFill>
                <a:schemeClr val="dk1"/>
              </a:solidFill>
              <a:effectLst/>
              <a:latin typeface="+mn-lt"/>
              <a:ea typeface="+mn-ea"/>
              <a:cs typeface="+mn-cs"/>
            </a:rPr>
            <a:t> </a:t>
          </a:r>
        </a:p>
        <a:p>
          <a:endParaRPr lang="en-US" sz="1100" i="0"/>
        </a:p>
      </xdr:txBody>
    </xdr:sp>
    <xdr:clientData/>
  </xdr:twoCellAnchor>
  <xdr:twoCellAnchor>
    <xdr:from>
      <xdr:col>15</xdr:col>
      <xdr:colOff>590550</xdr:colOff>
      <xdr:row>17</xdr:row>
      <xdr:rowOff>47625</xdr:rowOff>
    </xdr:from>
    <xdr:to>
      <xdr:col>23</xdr:col>
      <xdr:colOff>123825</xdr:colOff>
      <xdr:row>24</xdr:row>
      <xdr:rowOff>0</xdr:rowOff>
    </xdr:to>
    <xdr:sp macro="" textlink="">
      <xdr:nvSpPr>
        <xdr:cNvPr id="4" name="TextBox 3">
          <a:extLst>
            <a:ext uri="{FF2B5EF4-FFF2-40B4-BE49-F238E27FC236}">
              <a16:creationId xmlns:a16="http://schemas.microsoft.com/office/drawing/2014/main" id="{8B739CF4-70AF-48AB-A52E-CADE8B72EC72}"/>
            </a:ext>
          </a:extLst>
        </xdr:cNvPr>
        <xdr:cNvSpPr txBox="1"/>
      </xdr:nvSpPr>
      <xdr:spPr>
        <a:xfrm>
          <a:off x="14239875" y="3286125"/>
          <a:ext cx="4676775" cy="1285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Contacted collecters &amp; KB Aug 2025: </a:t>
          </a:r>
          <a:r>
            <a:rPr lang="en-US" sz="1100" baseline="0">
              <a:solidFill>
                <a:schemeClr val="dk1"/>
              </a:solidFill>
              <a:effectLst/>
              <a:latin typeface="+mn-lt"/>
              <a:ea typeface="+mn-ea"/>
              <a:cs typeface="+mn-cs"/>
            </a:rPr>
            <a:t>they are ready to go.</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i="0">
              <a:solidFill>
                <a:schemeClr val="dk1"/>
              </a:solidFill>
              <a:effectLst/>
              <a:latin typeface="+mn-lt"/>
              <a:ea typeface="+mn-ea"/>
              <a:cs typeface="+mn-cs"/>
            </a:rPr>
            <a:t>email with Amy Barton at Clack</a:t>
          </a:r>
          <a:r>
            <a:rPr lang="en-US" sz="1100" i="0" baseline="0">
              <a:solidFill>
                <a:schemeClr val="dk1"/>
              </a:solidFill>
              <a:effectLst/>
              <a:latin typeface="+mn-lt"/>
              <a:ea typeface="+mn-ea"/>
              <a:cs typeface="+mn-cs"/>
            </a:rPr>
            <a:t> River Basin Council asking about bags, they returned the unused bags in 2023, so they may not have an inventory.</a:t>
          </a:r>
        </a:p>
        <a:p>
          <a:pPr marL="0" marR="0" lvl="0" indent="0" defTabSz="914400" eaLnBrk="1" fontAlgn="auto" latinLnBrk="0" hangingPunct="1">
            <a:lnSpc>
              <a:spcPct val="100000"/>
            </a:lnSpc>
            <a:spcBef>
              <a:spcPts val="0"/>
            </a:spcBef>
            <a:spcAft>
              <a:spcPts val="0"/>
            </a:spcAft>
            <a:buClrTx/>
            <a:buSzTx/>
            <a:buFontTx/>
            <a:buNone/>
            <a:tabLst/>
            <a:defRPr/>
          </a:pPr>
          <a:r>
            <a:rPr lang="en-US" sz="1100" i="0" baseline="0">
              <a:solidFill>
                <a:schemeClr val="dk1"/>
              </a:solidFill>
              <a:effectLst/>
              <a:latin typeface="+mn-lt"/>
              <a:ea typeface="+mn-ea"/>
              <a:cs typeface="+mn-cs"/>
            </a:rPr>
            <a:t>email with Ron Buck/Adopt-a-Road to secure bags. No bags needed this year per Amy. They had enough bags.</a:t>
          </a:r>
        </a:p>
        <a:p>
          <a:pPr marL="0" marR="0" lvl="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If you would like to contact WLCR's Program and Volunteer Coordinator, please email Travis Cooper at </a:t>
          </a:r>
          <a:r>
            <a:rPr lang="en-US" sz="1100" i="1" u="sng">
              <a:solidFill>
                <a:schemeClr val="dk1"/>
              </a:solidFill>
              <a:effectLst/>
              <a:latin typeface="+mn-lt"/>
              <a:ea typeface="+mn-ea"/>
              <a:cs typeface="+mn-cs"/>
              <a:hlinkClick xmlns:r="http://schemas.openxmlformats.org/officeDocument/2006/relationships" r:id=""/>
            </a:rPr>
            <a:t>travis@welovecleanrivers.org</a:t>
          </a:r>
          <a:r>
            <a:rPr lang="en-US" sz="1100" i="1">
              <a:solidFill>
                <a:schemeClr val="dk1"/>
              </a:solidFill>
              <a:effectLst/>
              <a:latin typeface="+mn-lt"/>
              <a:ea typeface="+mn-ea"/>
              <a:cs typeface="+mn-cs"/>
            </a:rPr>
            <a:t> or more general organization emails can be directed to </a:t>
          </a:r>
          <a:r>
            <a:rPr lang="en-US" sz="1100" i="1" u="sng">
              <a:solidFill>
                <a:schemeClr val="dk1"/>
              </a:solidFill>
              <a:effectLst/>
              <a:latin typeface="+mn-lt"/>
              <a:ea typeface="+mn-ea"/>
              <a:cs typeface="+mn-cs"/>
              <a:hlinkClick xmlns:r="http://schemas.openxmlformats.org/officeDocument/2006/relationships" r:id=""/>
            </a:rPr>
            <a:t>info@welovecleanrivers.org</a:t>
          </a:r>
          <a:r>
            <a:rPr lang="en-US" sz="1100" i="1">
              <a:solidFill>
                <a:schemeClr val="dk1"/>
              </a:solidFill>
              <a:effectLst/>
              <a:latin typeface="+mn-lt"/>
              <a:ea typeface="+mn-ea"/>
              <a:cs typeface="+mn-cs"/>
            </a:rPr>
            <a:t>.</a:t>
          </a:r>
        </a:p>
        <a:p>
          <a:endParaRPr lang="en-US" sz="1100"/>
        </a:p>
      </xdr:txBody>
    </xdr:sp>
    <xdr:clientData/>
  </xdr:twoCellAnchor>
  <xdr:twoCellAnchor>
    <xdr:from>
      <xdr:col>3</xdr:col>
      <xdr:colOff>412750</xdr:colOff>
      <xdr:row>10</xdr:row>
      <xdr:rowOff>69850</xdr:rowOff>
    </xdr:from>
    <xdr:to>
      <xdr:col>7</xdr:col>
      <xdr:colOff>196850</xdr:colOff>
      <xdr:row>13</xdr:row>
      <xdr:rowOff>127000</xdr:rowOff>
    </xdr:to>
    <xdr:sp macro="" textlink="">
      <xdr:nvSpPr>
        <xdr:cNvPr id="5" name="TextBox 4">
          <a:extLst>
            <a:ext uri="{FF2B5EF4-FFF2-40B4-BE49-F238E27FC236}">
              <a16:creationId xmlns:a16="http://schemas.microsoft.com/office/drawing/2014/main" id="{D38DC2B3-DF5B-4297-BFFC-0C2E4A2087BA}"/>
            </a:ext>
          </a:extLst>
        </xdr:cNvPr>
        <xdr:cNvSpPr txBox="1"/>
      </xdr:nvSpPr>
      <xdr:spPr>
        <a:xfrm>
          <a:off x="4175125" y="1974850"/>
          <a:ext cx="2222500" cy="628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enter lbs from report sent by KB or in case of tires count.</a:t>
          </a:r>
        </a:p>
        <a:p>
          <a:endParaRPr lang="en-US" sz="1100"/>
        </a:p>
        <a:p>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16</xdr:col>
      <xdr:colOff>152400</xdr:colOff>
      <xdr:row>7</xdr:row>
      <xdr:rowOff>19050</xdr:rowOff>
    </xdr:from>
    <xdr:to>
      <xdr:col>23</xdr:col>
      <xdr:colOff>76200</xdr:colOff>
      <xdr:row>16</xdr:row>
      <xdr:rowOff>171450</xdr:rowOff>
    </xdr:to>
    <xdr:sp macro="" textlink="">
      <xdr:nvSpPr>
        <xdr:cNvPr id="2" name="TextBox 1">
          <a:extLst>
            <a:ext uri="{FF2B5EF4-FFF2-40B4-BE49-F238E27FC236}">
              <a16:creationId xmlns:a16="http://schemas.microsoft.com/office/drawing/2014/main" id="{15CC4612-A6E1-4C00-9A12-26F21CE84A88}"/>
            </a:ext>
          </a:extLst>
        </xdr:cNvPr>
        <xdr:cNvSpPr txBox="1"/>
      </xdr:nvSpPr>
      <xdr:spPr>
        <a:xfrm>
          <a:off x="14411325" y="1352550"/>
          <a:ext cx="4457700" cy="1866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Canceled event in 2020: Covid 19</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8/26/20 Nicole:  As for bags, this is the inventory I got from CRBC earlier this year:</a:t>
          </a:r>
          <a:br>
            <a:rPr lang="en-US" sz="1100">
              <a:solidFill>
                <a:schemeClr val="dk1"/>
              </a:solidFill>
              <a:effectLst/>
              <a:latin typeface="+mn-lt"/>
              <a:ea typeface="+mn-ea"/>
              <a:cs typeface="+mn-cs"/>
            </a:rPr>
          </a:br>
          <a:r>
            <a:rPr lang="en-US" sz="1100">
              <a:solidFill>
                <a:schemeClr val="dk1"/>
              </a:solidFill>
              <a:effectLst/>
              <a:latin typeface="+mn-lt"/>
              <a:ea typeface="+mn-ea"/>
              <a:cs typeface="+mn-cs"/>
            </a:rPr>
            <a:t>SOLVE Bags – 157</a:t>
          </a:r>
          <a:br>
            <a:rPr lang="en-US" sz="1100">
              <a:solidFill>
                <a:schemeClr val="dk1"/>
              </a:solidFill>
              <a:effectLst/>
              <a:latin typeface="+mn-lt"/>
              <a:ea typeface="+mn-ea"/>
              <a:cs typeface="+mn-cs"/>
            </a:rPr>
          </a:br>
          <a:r>
            <a:rPr lang="en-US" sz="1100">
              <a:solidFill>
                <a:schemeClr val="dk1"/>
              </a:solidFill>
              <a:effectLst/>
              <a:latin typeface="+mn-lt"/>
              <a:ea typeface="+mn-ea"/>
              <a:cs typeface="+mn-cs"/>
            </a:rPr>
            <a:t>Blue Bags – 4</a:t>
          </a:r>
          <a:br>
            <a:rPr lang="en-US" sz="1100">
              <a:solidFill>
                <a:schemeClr val="dk1"/>
              </a:solidFill>
              <a:effectLst/>
              <a:latin typeface="+mn-lt"/>
              <a:ea typeface="+mn-ea"/>
              <a:cs typeface="+mn-cs"/>
            </a:rPr>
          </a:br>
          <a:r>
            <a:rPr lang="en-US" sz="1100">
              <a:solidFill>
                <a:schemeClr val="dk1"/>
              </a:solidFill>
              <a:effectLst/>
              <a:latin typeface="+mn-lt"/>
              <a:ea typeface="+mn-ea"/>
              <a:cs typeface="+mn-cs"/>
            </a:rPr>
            <a:t>Yellow Bags – 800</a:t>
          </a:r>
          <a:br>
            <a:rPr lang="en-US" sz="1100">
              <a:solidFill>
                <a:schemeClr val="dk1"/>
              </a:solidFill>
              <a:effectLst/>
              <a:latin typeface="+mn-lt"/>
              <a:ea typeface="+mn-ea"/>
              <a:cs typeface="+mn-cs"/>
            </a:rPr>
          </a:br>
          <a:r>
            <a:rPr lang="en-US" sz="1100">
              <a:solidFill>
                <a:schemeClr val="dk1"/>
              </a:solidFill>
              <a:effectLst/>
              <a:latin typeface="+mn-lt"/>
              <a:ea typeface="+mn-ea"/>
              <a:cs typeface="+mn-cs"/>
            </a:rPr>
            <a:t>Feed Bags - 47</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endParaRPr lang="en-US" sz="1100" i="1">
            <a:solidFill>
              <a:schemeClr val="dk1"/>
            </a:solidFill>
            <a:effectLst/>
            <a:latin typeface="+mn-lt"/>
            <a:ea typeface="+mn-ea"/>
            <a:cs typeface="+mn-cs"/>
          </a:endParaRPr>
        </a:p>
        <a:p>
          <a:r>
            <a:rPr lang="en-US" sz="1100">
              <a:solidFill>
                <a:schemeClr val="dk1"/>
              </a:solidFill>
              <a:effectLst/>
              <a:latin typeface="+mn-lt"/>
              <a:ea typeface="+mn-ea"/>
              <a:cs typeface="+mn-cs"/>
            </a:rPr>
            <a:t> </a:t>
          </a:r>
        </a:p>
        <a:p>
          <a:endParaRPr lang="en-US" sz="1100" i="0"/>
        </a:p>
      </xdr:txBody>
    </xdr:sp>
    <xdr:clientData/>
  </xdr:twoCellAnchor>
  <xdr:twoCellAnchor>
    <xdr:from>
      <xdr:col>15</xdr:col>
      <xdr:colOff>590550</xdr:colOff>
      <xdr:row>17</xdr:row>
      <xdr:rowOff>47625</xdr:rowOff>
    </xdr:from>
    <xdr:to>
      <xdr:col>23</xdr:col>
      <xdr:colOff>123825</xdr:colOff>
      <xdr:row>24</xdr:row>
      <xdr:rowOff>0</xdr:rowOff>
    </xdr:to>
    <xdr:sp macro="" textlink="">
      <xdr:nvSpPr>
        <xdr:cNvPr id="3" name="TextBox 2">
          <a:extLst>
            <a:ext uri="{FF2B5EF4-FFF2-40B4-BE49-F238E27FC236}">
              <a16:creationId xmlns:a16="http://schemas.microsoft.com/office/drawing/2014/main" id="{675208A5-774E-4643-90A7-D8C45A73094B}"/>
            </a:ext>
          </a:extLst>
        </xdr:cNvPr>
        <xdr:cNvSpPr txBox="1"/>
      </xdr:nvSpPr>
      <xdr:spPr>
        <a:xfrm>
          <a:off x="14239875" y="3286125"/>
          <a:ext cx="4676775" cy="1285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Contacted collecters &amp; KB Aug 2024: </a:t>
          </a:r>
          <a:r>
            <a:rPr lang="en-US" sz="1100" baseline="0">
              <a:solidFill>
                <a:schemeClr val="dk1"/>
              </a:solidFill>
              <a:effectLst/>
              <a:latin typeface="+mn-lt"/>
              <a:ea typeface="+mn-ea"/>
              <a:cs typeface="+mn-cs"/>
            </a:rPr>
            <a:t>they are ready to go.</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i="0">
              <a:solidFill>
                <a:schemeClr val="dk1"/>
              </a:solidFill>
              <a:effectLst/>
              <a:latin typeface="+mn-lt"/>
              <a:ea typeface="+mn-ea"/>
              <a:cs typeface="+mn-cs"/>
            </a:rPr>
            <a:t>email with Amy Barton at Clack</a:t>
          </a:r>
          <a:r>
            <a:rPr lang="en-US" sz="1100" i="0" baseline="0">
              <a:solidFill>
                <a:schemeClr val="dk1"/>
              </a:solidFill>
              <a:effectLst/>
              <a:latin typeface="+mn-lt"/>
              <a:ea typeface="+mn-ea"/>
              <a:cs typeface="+mn-cs"/>
            </a:rPr>
            <a:t> River Basin Council asking about bags, they returned the unused bags in 2023, so they may not have an inventory.</a:t>
          </a:r>
        </a:p>
        <a:p>
          <a:pPr marL="0" marR="0" lvl="0" indent="0" defTabSz="914400" eaLnBrk="1" fontAlgn="auto" latinLnBrk="0" hangingPunct="1">
            <a:lnSpc>
              <a:spcPct val="100000"/>
            </a:lnSpc>
            <a:spcBef>
              <a:spcPts val="0"/>
            </a:spcBef>
            <a:spcAft>
              <a:spcPts val="0"/>
            </a:spcAft>
            <a:buClrTx/>
            <a:buSzTx/>
            <a:buFontTx/>
            <a:buNone/>
            <a:tabLst/>
            <a:defRPr/>
          </a:pPr>
          <a:r>
            <a:rPr lang="en-US" sz="1100" i="0" baseline="0">
              <a:solidFill>
                <a:schemeClr val="dk1"/>
              </a:solidFill>
              <a:effectLst/>
              <a:latin typeface="+mn-lt"/>
              <a:ea typeface="+mn-ea"/>
              <a:cs typeface="+mn-cs"/>
            </a:rPr>
            <a:t>email with Ron Buck/Adopt-a-Road to secure bags. No bags needed this year per Amy. They had enough bags.</a:t>
          </a:r>
        </a:p>
        <a:p>
          <a:pPr marL="0" marR="0" lvl="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If you would like to contact WLCR's Program and Volunteer Coordinator, please email Travis Cooper at </a:t>
          </a:r>
          <a:r>
            <a:rPr lang="en-US" sz="1100" i="1" u="sng">
              <a:solidFill>
                <a:schemeClr val="dk1"/>
              </a:solidFill>
              <a:effectLst/>
              <a:latin typeface="+mn-lt"/>
              <a:ea typeface="+mn-ea"/>
              <a:cs typeface="+mn-cs"/>
              <a:hlinkClick xmlns:r="http://schemas.openxmlformats.org/officeDocument/2006/relationships" r:id=""/>
            </a:rPr>
            <a:t>travis@welovecleanrivers.org</a:t>
          </a:r>
          <a:r>
            <a:rPr lang="en-US" sz="1100" i="1">
              <a:solidFill>
                <a:schemeClr val="dk1"/>
              </a:solidFill>
              <a:effectLst/>
              <a:latin typeface="+mn-lt"/>
              <a:ea typeface="+mn-ea"/>
              <a:cs typeface="+mn-cs"/>
            </a:rPr>
            <a:t> or more general organization emails can be directed to </a:t>
          </a:r>
          <a:r>
            <a:rPr lang="en-US" sz="1100" i="1" u="sng">
              <a:solidFill>
                <a:schemeClr val="dk1"/>
              </a:solidFill>
              <a:effectLst/>
              <a:latin typeface="+mn-lt"/>
              <a:ea typeface="+mn-ea"/>
              <a:cs typeface="+mn-cs"/>
              <a:hlinkClick xmlns:r="http://schemas.openxmlformats.org/officeDocument/2006/relationships" r:id=""/>
            </a:rPr>
            <a:t>info@welovecleanrivers.org</a:t>
          </a:r>
          <a:r>
            <a:rPr lang="en-US" sz="1100" i="1">
              <a:solidFill>
                <a:schemeClr val="dk1"/>
              </a:solidFill>
              <a:effectLst/>
              <a:latin typeface="+mn-lt"/>
              <a:ea typeface="+mn-ea"/>
              <a:cs typeface="+mn-cs"/>
            </a:rPr>
            <a:t>.</a:t>
          </a:r>
        </a:p>
        <a:p>
          <a:endParaRPr lang="en-US" sz="1100"/>
        </a:p>
      </xdr:txBody>
    </xdr:sp>
    <xdr:clientData/>
  </xdr:twoCellAnchor>
  <xdr:twoCellAnchor>
    <xdr:from>
      <xdr:col>3</xdr:col>
      <xdr:colOff>412750</xdr:colOff>
      <xdr:row>10</xdr:row>
      <xdr:rowOff>69850</xdr:rowOff>
    </xdr:from>
    <xdr:to>
      <xdr:col>7</xdr:col>
      <xdr:colOff>196850</xdr:colOff>
      <xdr:row>13</xdr:row>
      <xdr:rowOff>127000</xdr:rowOff>
    </xdr:to>
    <xdr:sp macro="" textlink="">
      <xdr:nvSpPr>
        <xdr:cNvPr id="4" name="TextBox 3">
          <a:extLst>
            <a:ext uri="{FF2B5EF4-FFF2-40B4-BE49-F238E27FC236}">
              <a16:creationId xmlns:a16="http://schemas.microsoft.com/office/drawing/2014/main" id="{F9019197-80C7-4387-A9DF-7693A5233FD5}"/>
            </a:ext>
          </a:extLst>
        </xdr:cNvPr>
        <xdr:cNvSpPr txBox="1"/>
      </xdr:nvSpPr>
      <xdr:spPr>
        <a:xfrm>
          <a:off x="4175125" y="1974850"/>
          <a:ext cx="2222500" cy="628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enter lbs from report sent by KB or in case of tires count.</a:t>
          </a:r>
        </a:p>
        <a:p>
          <a:endParaRPr lang="en-US" sz="1100"/>
        </a:p>
        <a:p>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16</xdr:col>
      <xdr:colOff>152400</xdr:colOff>
      <xdr:row>7</xdr:row>
      <xdr:rowOff>19050</xdr:rowOff>
    </xdr:from>
    <xdr:to>
      <xdr:col>23</xdr:col>
      <xdr:colOff>76200</xdr:colOff>
      <xdr:row>16</xdr:row>
      <xdr:rowOff>171450</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14392275" y="1352550"/>
          <a:ext cx="4457700" cy="1676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Canceled event in 2020: Covid 19</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8/26/20 Nicole:  As for bags, this is the inventory I got from CRBC earlier this year:</a:t>
          </a:r>
          <a:br>
            <a:rPr lang="en-US" sz="1100">
              <a:solidFill>
                <a:schemeClr val="dk1"/>
              </a:solidFill>
              <a:effectLst/>
              <a:latin typeface="+mn-lt"/>
              <a:ea typeface="+mn-ea"/>
              <a:cs typeface="+mn-cs"/>
            </a:rPr>
          </a:br>
          <a:r>
            <a:rPr lang="en-US" sz="1100">
              <a:solidFill>
                <a:schemeClr val="dk1"/>
              </a:solidFill>
              <a:effectLst/>
              <a:latin typeface="+mn-lt"/>
              <a:ea typeface="+mn-ea"/>
              <a:cs typeface="+mn-cs"/>
            </a:rPr>
            <a:t>SOLVE Bags – 157</a:t>
          </a:r>
          <a:br>
            <a:rPr lang="en-US" sz="1100">
              <a:solidFill>
                <a:schemeClr val="dk1"/>
              </a:solidFill>
              <a:effectLst/>
              <a:latin typeface="+mn-lt"/>
              <a:ea typeface="+mn-ea"/>
              <a:cs typeface="+mn-cs"/>
            </a:rPr>
          </a:br>
          <a:r>
            <a:rPr lang="en-US" sz="1100">
              <a:solidFill>
                <a:schemeClr val="dk1"/>
              </a:solidFill>
              <a:effectLst/>
              <a:latin typeface="+mn-lt"/>
              <a:ea typeface="+mn-ea"/>
              <a:cs typeface="+mn-cs"/>
            </a:rPr>
            <a:t>Blue Bags – 4</a:t>
          </a:r>
          <a:br>
            <a:rPr lang="en-US" sz="1100">
              <a:solidFill>
                <a:schemeClr val="dk1"/>
              </a:solidFill>
              <a:effectLst/>
              <a:latin typeface="+mn-lt"/>
              <a:ea typeface="+mn-ea"/>
              <a:cs typeface="+mn-cs"/>
            </a:rPr>
          </a:br>
          <a:r>
            <a:rPr lang="en-US" sz="1100">
              <a:solidFill>
                <a:schemeClr val="dk1"/>
              </a:solidFill>
              <a:effectLst/>
              <a:latin typeface="+mn-lt"/>
              <a:ea typeface="+mn-ea"/>
              <a:cs typeface="+mn-cs"/>
            </a:rPr>
            <a:t>Yellow Bags – 800</a:t>
          </a:r>
          <a:br>
            <a:rPr lang="en-US" sz="1100">
              <a:solidFill>
                <a:schemeClr val="dk1"/>
              </a:solidFill>
              <a:effectLst/>
              <a:latin typeface="+mn-lt"/>
              <a:ea typeface="+mn-ea"/>
              <a:cs typeface="+mn-cs"/>
            </a:rPr>
          </a:br>
          <a:r>
            <a:rPr lang="en-US" sz="1100">
              <a:solidFill>
                <a:schemeClr val="dk1"/>
              </a:solidFill>
              <a:effectLst/>
              <a:latin typeface="+mn-lt"/>
              <a:ea typeface="+mn-ea"/>
              <a:cs typeface="+mn-cs"/>
            </a:rPr>
            <a:t>Feed Bags - 47</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endParaRPr lang="en-US" sz="1100" i="1">
            <a:solidFill>
              <a:schemeClr val="dk1"/>
            </a:solidFill>
            <a:effectLst/>
            <a:latin typeface="+mn-lt"/>
            <a:ea typeface="+mn-ea"/>
            <a:cs typeface="+mn-cs"/>
          </a:endParaRPr>
        </a:p>
        <a:p>
          <a:r>
            <a:rPr lang="en-US" sz="1100">
              <a:solidFill>
                <a:schemeClr val="dk1"/>
              </a:solidFill>
              <a:effectLst/>
              <a:latin typeface="+mn-lt"/>
              <a:ea typeface="+mn-ea"/>
              <a:cs typeface="+mn-cs"/>
            </a:rPr>
            <a:t> </a:t>
          </a:r>
        </a:p>
        <a:p>
          <a:endParaRPr lang="en-US" sz="1100" i="0"/>
        </a:p>
      </xdr:txBody>
    </xdr:sp>
    <xdr:clientData/>
  </xdr:twoCellAnchor>
  <xdr:twoCellAnchor>
    <xdr:from>
      <xdr:col>15</xdr:col>
      <xdr:colOff>590550</xdr:colOff>
      <xdr:row>17</xdr:row>
      <xdr:rowOff>47625</xdr:rowOff>
    </xdr:from>
    <xdr:to>
      <xdr:col>23</xdr:col>
      <xdr:colOff>123825</xdr:colOff>
      <xdr:row>29</xdr:row>
      <xdr:rowOff>66675</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14239875" y="3286125"/>
          <a:ext cx="4676775" cy="2305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Contacted collecters &amp; KB Aug 3rd, 2023: </a:t>
          </a:r>
          <a:r>
            <a:rPr lang="en-US" sz="1100" baseline="0">
              <a:solidFill>
                <a:schemeClr val="dk1"/>
              </a:solidFill>
              <a:effectLst/>
              <a:latin typeface="+mn-lt"/>
              <a:ea typeface="+mn-ea"/>
              <a:cs typeface="+mn-cs"/>
            </a:rPr>
            <a:t>they are ready to go.</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i="0">
              <a:solidFill>
                <a:schemeClr val="dk1"/>
              </a:solidFill>
              <a:effectLst/>
              <a:latin typeface="+mn-lt"/>
              <a:ea typeface="+mn-ea"/>
              <a:cs typeface="+mn-cs"/>
            </a:rPr>
            <a:t>email with Amy Barton at Clack</a:t>
          </a:r>
          <a:r>
            <a:rPr lang="en-US" sz="1100" i="0" baseline="0">
              <a:solidFill>
                <a:schemeClr val="dk1"/>
              </a:solidFill>
              <a:effectLst/>
              <a:latin typeface="+mn-lt"/>
              <a:ea typeface="+mn-ea"/>
              <a:cs typeface="+mn-cs"/>
            </a:rPr>
            <a:t> River Basin Council asking about bags, they returned the unused bags in 2022, so they may not have an inventory.</a:t>
          </a:r>
        </a:p>
        <a:p>
          <a:pPr marL="0" marR="0" lvl="0" indent="0" defTabSz="914400" eaLnBrk="1" fontAlgn="auto" latinLnBrk="0" hangingPunct="1">
            <a:lnSpc>
              <a:spcPct val="100000"/>
            </a:lnSpc>
            <a:spcBef>
              <a:spcPts val="0"/>
            </a:spcBef>
            <a:spcAft>
              <a:spcPts val="0"/>
            </a:spcAft>
            <a:buClrTx/>
            <a:buSzTx/>
            <a:buFontTx/>
            <a:buNone/>
            <a:tabLst/>
            <a:defRPr/>
          </a:pPr>
          <a:r>
            <a:rPr lang="en-US" sz="1100" i="0" baseline="0">
              <a:solidFill>
                <a:schemeClr val="dk1"/>
              </a:solidFill>
              <a:effectLst/>
              <a:latin typeface="+mn-lt"/>
              <a:ea typeface="+mn-ea"/>
              <a:cs typeface="+mn-cs"/>
            </a:rPr>
            <a:t>email with Ron Buck/Adopt-a-Road to secure bags</a:t>
          </a:r>
          <a:endParaRPr lang="en-US" sz="1100" i="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If you would like to contact WLCR's Program and Volunteer Coordinator, please email Travis Cooper at </a:t>
          </a:r>
          <a:r>
            <a:rPr lang="en-US" sz="1100" i="1" u="sng">
              <a:solidFill>
                <a:schemeClr val="dk1"/>
              </a:solidFill>
              <a:effectLst/>
              <a:latin typeface="+mn-lt"/>
              <a:ea typeface="+mn-ea"/>
              <a:cs typeface="+mn-cs"/>
              <a:hlinkClick xmlns:r="http://schemas.openxmlformats.org/officeDocument/2006/relationships" r:id=""/>
            </a:rPr>
            <a:t>travis@welovecleanrivers.org</a:t>
          </a:r>
          <a:r>
            <a:rPr lang="en-US" sz="1100" i="1">
              <a:solidFill>
                <a:schemeClr val="dk1"/>
              </a:solidFill>
              <a:effectLst/>
              <a:latin typeface="+mn-lt"/>
              <a:ea typeface="+mn-ea"/>
              <a:cs typeface="+mn-cs"/>
            </a:rPr>
            <a:t> or more general organization emails can be directed to </a:t>
          </a:r>
          <a:r>
            <a:rPr lang="en-US" sz="1100" i="1" u="sng">
              <a:solidFill>
                <a:schemeClr val="dk1"/>
              </a:solidFill>
              <a:effectLst/>
              <a:latin typeface="+mn-lt"/>
              <a:ea typeface="+mn-ea"/>
              <a:cs typeface="+mn-cs"/>
              <a:hlinkClick xmlns:r="http://schemas.openxmlformats.org/officeDocument/2006/relationships" r:id=""/>
            </a:rPr>
            <a:t>info@welovecleanrivers.org</a:t>
          </a:r>
          <a:r>
            <a:rPr lang="en-US" sz="1100" i="1">
              <a:solidFill>
                <a:schemeClr val="dk1"/>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lang="en-US" sz="1100" i="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i="0" baseline="0">
              <a:solidFill>
                <a:schemeClr val="dk1"/>
              </a:solidFill>
              <a:effectLst/>
              <a:latin typeface="+mn-lt"/>
              <a:ea typeface="+mn-ea"/>
              <a:cs typeface="+mn-cs"/>
            </a:rPr>
            <a:t>Amy Barton: </a:t>
          </a:r>
          <a:r>
            <a:rPr lang="en-US" sz="1100" i="1">
              <a:solidFill>
                <a:schemeClr val="dk1"/>
              </a:solidFill>
              <a:effectLst/>
              <a:latin typeface="+mn-lt"/>
              <a:ea typeface="+mn-ea"/>
              <a:cs typeface="+mn-cs"/>
            </a:rPr>
            <a:t>I am hoping that we can request around 200 recycling bags from Clackamas County Sustainability and Solid Waste so we can provide one for each volunteer</a:t>
          </a:r>
          <a:r>
            <a:rPr lang="en-US" sz="1100">
              <a:solidFill>
                <a:schemeClr val="dk1"/>
              </a:solidFill>
              <a:effectLst/>
              <a:latin typeface="+mn-lt"/>
              <a:ea typeface="+mn-ea"/>
              <a:cs typeface="+mn-cs"/>
            </a:rPr>
            <a:t>.</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i="1">
            <a:solidFill>
              <a:schemeClr val="dk1"/>
            </a:solidFill>
            <a:effectLst/>
            <a:latin typeface="+mn-lt"/>
            <a:ea typeface="+mn-ea"/>
            <a:cs typeface="+mn-cs"/>
          </a:endParaRPr>
        </a:p>
        <a:p>
          <a:endParaRPr lang="en-US" sz="1100"/>
        </a:p>
      </xdr:txBody>
    </xdr:sp>
    <xdr:clientData/>
  </xdr:twoCellAnchor>
  <xdr:twoCellAnchor>
    <xdr:from>
      <xdr:col>3</xdr:col>
      <xdr:colOff>412750</xdr:colOff>
      <xdr:row>10</xdr:row>
      <xdr:rowOff>69850</xdr:rowOff>
    </xdr:from>
    <xdr:to>
      <xdr:col>7</xdr:col>
      <xdr:colOff>196850</xdr:colOff>
      <xdr:row>13</xdr:row>
      <xdr:rowOff>127000</xdr:rowOff>
    </xdr:to>
    <xdr:sp macro="" textlink="">
      <xdr:nvSpPr>
        <xdr:cNvPr id="4" name="TextBox 3">
          <a:extLst>
            <a:ext uri="{FF2B5EF4-FFF2-40B4-BE49-F238E27FC236}">
              <a16:creationId xmlns:a16="http://schemas.microsoft.com/office/drawing/2014/main" id="{00000000-0008-0000-0400-000004000000}"/>
            </a:ext>
          </a:extLst>
        </xdr:cNvPr>
        <xdr:cNvSpPr txBox="1"/>
      </xdr:nvSpPr>
      <xdr:spPr>
        <a:xfrm>
          <a:off x="4305300" y="1727200"/>
          <a:ext cx="2222500" cy="609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enter lbs from report sent by KB or in case of tires count.</a:t>
          </a:r>
        </a:p>
        <a:p>
          <a:endParaRPr lang="en-US" sz="1100"/>
        </a:p>
        <a:p>
          <a:endParaRPr 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16</xdr:col>
      <xdr:colOff>152400</xdr:colOff>
      <xdr:row>7</xdr:row>
      <xdr:rowOff>19050</xdr:rowOff>
    </xdr:from>
    <xdr:to>
      <xdr:col>23</xdr:col>
      <xdr:colOff>76200</xdr:colOff>
      <xdr:row>15</xdr:row>
      <xdr:rowOff>171450</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14392275" y="1352550"/>
          <a:ext cx="4457700" cy="1676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Canceled event in 2020: Covid 19</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8/26/20 Nicole:  As for bags, this is the inventory I got from CRBC earlier this year:</a:t>
          </a:r>
          <a:br>
            <a:rPr lang="en-US" sz="1100">
              <a:solidFill>
                <a:schemeClr val="dk1"/>
              </a:solidFill>
              <a:effectLst/>
              <a:latin typeface="+mn-lt"/>
              <a:ea typeface="+mn-ea"/>
              <a:cs typeface="+mn-cs"/>
            </a:rPr>
          </a:br>
          <a:r>
            <a:rPr lang="en-US" sz="1100">
              <a:solidFill>
                <a:schemeClr val="dk1"/>
              </a:solidFill>
              <a:effectLst/>
              <a:latin typeface="+mn-lt"/>
              <a:ea typeface="+mn-ea"/>
              <a:cs typeface="+mn-cs"/>
            </a:rPr>
            <a:t>SOLVE Bags – 157</a:t>
          </a:r>
          <a:br>
            <a:rPr lang="en-US" sz="1100">
              <a:solidFill>
                <a:schemeClr val="dk1"/>
              </a:solidFill>
              <a:effectLst/>
              <a:latin typeface="+mn-lt"/>
              <a:ea typeface="+mn-ea"/>
              <a:cs typeface="+mn-cs"/>
            </a:rPr>
          </a:br>
          <a:r>
            <a:rPr lang="en-US" sz="1100">
              <a:solidFill>
                <a:schemeClr val="dk1"/>
              </a:solidFill>
              <a:effectLst/>
              <a:latin typeface="+mn-lt"/>
              <a:ea typeface="+mn-ea"/>
              <a:cs typeface="+mn-cs"/>
            </a:rPr>
            <a:t>Blue Bags – 4</a:t>
          </a:r>
          <a:br>
            <a:rPr lang="en-US" sz="1100">
              <a:solidFill>
                <a:schemeClr val="dk1"/>
              </a:solidFill>
              <a:effectLst/>
              <a:latin typeface="+mn-lt"/>
              <a:ea typeface="+mn-ea"/>
              <a:cs typeface="+mn-cs"/>
            </a:rPr>
          </a:br>
          <a:r>
            <a:rPr lang="en-US" sz="1100">
              <a:solidFill>
                <a:schemeClr val="dk1"/>
              </a:solidFill>
              <a:effectLst/>
              <a:latin typeface="+mn-lt"/>
              <a:ea typeface="+mn-ea"/>
              <a:cs typeface="+mn-cs"/>
            </a:rPr>
            <a:t>Yellow Bags – 800</a:t>
          </a:r>
          <a:br>
            <a:rPr lang="en-US" sz="1100">
              <a:solidFill>
                <a:schemeClr val="dk1"/>
              </a:solidFill>
              <a:effectLst/>
              <a:latin typeface="+mn-lt"/>
              <a:ea typeface="+mn-ea"/>
              <a:cs typeface="+mn-cs"/>
            </a:rPr>
          </a:br>
          <a:r>
            <a:rPr lang="en-US" sz="1100">
              <a:solidFill>
                <a:schemeClr val="dk1"/>
              </a:solidFill>
              <a:effectLst/>
              <a:latin typeface="+mn-lt"/>
              <a:ea typeface="+mn-ea"/>
              <a:cs typeface="+mn-cs"/>
            </a:rPr>
            <a:t>Feed Bags - 47</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endParaRPr lang="en-US" sz="1100" i="1">
            <a:solidFill>
              <a:schemeClr val="dk1"/>
            </a:solidFill>
            <a:effectLst/>
            <a:latin typeface="+mn-lt"/>
            <a:ea typeface="+mn-ea"/>
            <a:cs typeface="+mn-cs"/>
          </a:endParaRPr>
        </a:p>
        <a:p>
          <a:r>
            <a:rPr lang="en-US" sz="1100">
              <a:solidFill>
                <a:schemeClr val="dk1"/>
              </a:solidFill>
              <a:effectLst/>
              <a:latin typeface="+mn-lt"/>
              <a:ea typeface="+mn-ea"/>
              <a:cs typeface="+mn-cs"/>
            </a:rPr>
            <a:t> </a:t>
          </a:r>
        </a:p>
        <a:p>
          <a:endParaRPr lang="en-US" sz="1100" i="0"/>
        </a:p>
      </xdr:txBody>
    </xdr:sp>
    <xdr:clientData/>
  </xdr:twoCellAnchor>
  <xdr:twoCellAnchor>
    <xdr:from>
      <xdr:col>15</xdr:col>
      <xdr:colOff>590550</xdr:colOff>
      <xdr:row>16</xdr:row>
      <xdr:rowOff>47625</xdr:rowOff>
    </xdr:from>
    <xdr:to>
      <xdr:col>23</xdr:col>
      <xdr:colOff>123825</xdr:colOff>
      <xdr:row>23</xdr:row>
      <xdr:rowOff>152400</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4220825" y="3095625"/>
          <a:ext cx="4676775" cy="1438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Contacted collecters &amp; KB in July;</a:t>
          </a:r>
          <a:r>
            <a:rPr lang="en-US" sz="1100" baseline="0">
              <a:solidFill>
                <a:schemeClr val="dk1"/>
              </a:solidFill>
              <a:effectLst/>
              <a:latin typeface="+mn-lt"/>
              <a:ea typeface="+mn-ea"/>
              <a:cs typeface="+mn-cs"/>
            </a:rPr>
            <a:t> they are ready to go.</a:t>
          </a: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Reached out to WeLoveClean</a:t>
          </a:r>
          <a:r>
            <a:rPr lang="en-US" sz="1100" baseline="0">
              <a:solidFill>
                <a:schemeClr val="dk1"/>
              </a:solidFill>
              <a:effectLst/>
              <a:latin typeface="+mn-lt"/>
              <a:ea typeface="+mn-ea"/>
              <a:cs typeface="+mn-cs"/>
            </a:rPr>
            <a:t>Rivers, Nicole, to talk bags, she's no longer with the group (this position changes often):</a:t>
          </a:r>
        </a:p>
        <a:p>
          <a:pPr marL="0" marR="0" lvl="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If you would like to contact WLCR's Program and Volunteer Coordinator, please email Travis Cooper at </a:t>
          </a:r>
          <a:r>
            <a:rPr lang="en-US" sz="1100" i="1" u="sng">
              <a:solidFill>
                <a:schemeClr val="dk1"/>
              </a:solidFill>
              <a:effectLst/>
              <a:latin typeface="+mn-lt"/>
              <a:ea typeface="+mn-ea"/>
              <a:cs typeface="+mn-cs"/>
              <a:hlinkClick xmlns:r="http://schemas.openxmlformats.org/officeDocument/2006/relationships" r:id=""/>
            </a:rPr>
            <a:t>travis@welovecleanrivers.org</a:t>
          </a:r>
          <a:r>
            <a:rPr lang="en-US" sz="1100" i="1">
              <a:solidFill>
                <a:schemeClr val="dk1"/>
              </a:solidFill>
              <a:effectLst/>
              <a:latin typeface="+mn-lt"/>
              <a:ea typeface="+mn-ea"/>
              <a:cs typeface="+mn-cs"/>
            </a:rPr>
            <a:t> or more general organization emails can be directed to </a:t>
          </a:r>
          <a:r>
            <a:rPr lang="en-US" sz="1100" i="1" u="sng">
              <a:solidFill>
                <a:schemeClr val="dk1"/>
              </a:solidFill>
              <a:effectLst/>
              <a:latin typeface="+mn-lt"/>
              <a:ea typeface="+mn-ea"/>
              <a:cs typeface="+mn-cs"/>
              <a:hlinkClick xmlns:r="http://schemas.openxmlformats.org/officeDocument/2006/relationships" r:id=""/>
            </a:rPr>
            <a:t>info@welovecleanrivers.org</a:t>
          </a:r>
          <a:r>
            <a:rPr lang="en-US" sz="1100" i="1">
              <a:solidFill>
                <a:schemeClr val="dk1"/>
              </a:solidFill>
              <a:effectLst/>
              <a:latin typeface="+mn-lt"/>
              <a:ea typeface="+mn-ea"/>
              <a:cs typeface="+mn-cs"/>
            </a:rPr>
            <a:t>.</a:t>
          </a:r>
        </a:p>
        <a:p>
          <a:endParaRPr 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16</xdr:col>
      <xdr:colOff>152400</xdr:colOff>
      <xdr:row>7</xdr:row>
      <xdr:rowOff>19050</xdr:rowOff>
    </xdr:from>
    <xdr:to>
      <xdr:col>23</xdr:col>
      <xdr:colOff>76200</xdr:colOff>
      <xdr:row>15</xdr:row>
      <xdr:rowOff>171450</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14392275" y="1352550"/>
          <a:ext cx="4457700" cy="1676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Canceled event in 2020: Covid 19</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8/26/20 Nicole:  As for bags, this is the inventory I got from CRBC earlier this year:</a:t>
          </a:r>
          <a:br>
            <a:rPr lang="en-US" sz="1100">
              <a:solidFill>
                <a:schemeClr val="dk1"/>
              </a:solidFill>
              <a:effectLst/>
              <a:latin typeface="+mn-lt"/>
              <a:ea typeface="+mn-ea"/>
              <a:cs typeface="+mn-cs"/>
            </a:rPr>
          </a:br>
          <a:r>
            <a:rPr lang="en-US" sz="1100">
              <a:solidFill>
                <a:schemeClr val="dk1"/>
              </a:solidFill>
              <a:effectLst/>
              <a:latin typeface="+mn-lt"/>
              <a:ea typeface="+mn-ea"/>
              <a:cs typeface="+mn-cs"/>
            </a:rPr>
            <a:t>SOLVE Bags – 157</a:t>
          </a:r>
          <a:br>
            <a:rPr lang="en-US" sz="1100">
              <a:solidFill>
                <a:schemeClr val="dk1"/>
              </a:solidFill>
              <a:effectLst/>
              <a:latin typeface="+mn-lt"/>
              <a:ea typeface="+mn-ea"/>
              <a:cs typeface="+mn-cs"/>
            </a:rPr>
          </a:br>
          <a:r>
            <a:rPr lang="en-US" sz="1100">
              <a:solidFill>
                <a:schemeClr val="dk1"/>
              </a:solidFill>
              <a:effectLst/>
              <a:latin typeface="+mn-lt"/>
              <a:ea typeface="+mn-ea"/>
              <a:cs typeface="+mn-cs"/>
            </a:rPr>
            <a:t>Blue Bags – 4</a:t>
          </a:r>
          <a:br>
            <a:rPr lang="en-US" sz="1100">
              <a:solidFill>
                <a:schemeClr val="dk1"/>
              </a:solidFill>
              <a:effectLst/>
              <a:latin typeface="+mn-lt"/>
              <a:ea typeface="+mn-ea"/>
              <a:cs typeface="+mn-cs"/>
            </a:rPr>
          </a:br>
          <a:r>
            <a:rPr lang="en-US" sz="1100">
              <a:solidFill>
                <a:schemeClr val="dk1"/>
              </a:solidFill>
              <a:effectLst/>
              <a:latin typeface="+mn-lt"/>
              <a:ea typeface="+mn-ea"/>
              <a:cs typeface="+mn-cs"/>
            </a:rPr>
            <a:t>Yellow Bags – 800</a:t>
          </a:r>
          <a:br>
            <a:rPr lang="en-US" sz="1100">
              <a:solidFill>
                <a:schemeClr val="dk1"/>
              </a:solidFill>
              <a:effectLst/>
              <a:latin typeface="+mn-lt"/>
              <a:ea typeface="+mn-ea"/>
              <a:cs typeface="+mn-cs"/>
            </a:rPr>
          </a:br>
          <a:r>
            <a:rPr lang="en-US" sz="1100">
              <a:solidFill>
                <a:schemeClr val="dk1"/>
              </a:solidFill>
              <a:effectLst/>
              <a:latin typeface="+mn-lt"/>
              <a:ea typeface="+mn-ea"/>
              <a:cs typeface="+mn-cs"/>
            </a:rPr>
            <a:t>Feed Bags - 47</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endParaRPr lang="en-US" sz="1100" i="1">
            <a:solidFill>
              <a:schemeClr val="dk1"/>
            </a:solidFill>
            <a:effectLst/>
            <a:latin typeface="+mn-lt"/>
            <a:ea typeface="+mn-ea"/>
            <a:cs typeface="+mn-cs"/>
          </a:endParaRPr>
        </a:p>
        <a:p>
          <a:r>
            <a:rPr lang="en-US" sz="1100">
              <a:solidFill>
                <a:schemeClr val="dk1"/>
              </a:solidFill>
              <a:effectLst/>
              <a:latin typeface="+mn-lt"/>
              <a:ea typeface="+mn-ea"/>
              <a:cs typeface="+mn-cs"/>
            </a:rPr>
            <a:t> </a:t>
          </a:r>
        </a:p>
        <a:p>
          <a:endParaRPr lang="en-US" sz="1100" i="0"/>
        </a:p>
      </xdr:txBody>
    </xdr:sp>
    <xdr:clientData/>
  </xdr:twoCellAnchor>
  <xdr:twoCellAnchor>
    <xdr:from>
      <xdr:col>15</xdr:col>
      <xdr:colOff>590550</xdr:colOff>
      <xdr:row>16</xdr:row>
      <xdr:rowOff>47625</xdr:rowOff>
    </xdr:from>
    <xdr:to>
      <xdr:col>23</xdr:col>
      <xdr:colOff>123825</xdr:colOff>
      <xdr:row>23</xdr:row>
      <xdr:rowOff>152400</xdr:rowOff>
    </xdr:to>
    <xdr:sp macro="" textlink="">
      <xdr:nvSpPr>
        <xdr:cNvPr id="4" name="TextBox 3">
          <a:extLst>
            <a:ext uri="{FF2B5EF4-FFF2-40B4-BE49-F238E27FC236}">
              <a16:creationId xmlns:a16="http://schemas.microsoft.com/office/drawing/2014/main" id="{00000000-0008-0000-0600-000004000000}"/>
            </a:ext>
          </a:extLst>
        </xdr:cNvPr>
        <xdr:cNvSpPr txBox="1"/>
      </xdr:nvSpPr>
      <xdr:spPr>
        <a:xfrm>
          <a:off x="14220825" y="3095625"/>
          <a:ext cx="4676775" cy="1438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Contacted collecters &amp; KB in July;</a:t>
          </a:r>
          <a:r>
            <a:rPr lang="en-US" sz="1100" baseline="0">
              <a:solidFill>
                <a:schemeClr val="dk1"/>
              </a:solidFill>
              <a:effectLst/>
              <a:latin typeface="+mn-lt"/>
              <a:ea typeface="+mn-ea"/>
              <a:cs typeface="+mn-cs"/>
            </a:rPr>
            <a:t> they are ready to go.</a:t>
          </a: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Reached out to WeLoveClean</a:t>
          </a:r>
          <a:r>
            <a:rPr lang="en-US" sz="1100" baseline="0">
              <a:solidFill>
                <a:schemeClr val="dk1"/>
              </a:solidFill>
              <a:effectLst/>
              <a:latin typeface="+mn-lt"/>
              <a:ea typeface="+mn-ea"/>
              <a:cs typeface="+mn-cs"/>
            </a:rPr>
            <a:t>Rivers, Nicole, to talk bags, she's no longer with the group (this position changes often):</a:t>
          </a:r>
        </a:p>
        <a:p>
          <a:pPr marL="0" marR="0" lvl="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If you would like to contact WLCR's Program and Volunteer Coordinator, please email Travis Cooper at </a:t>
          </a:r>
          <a:r>
            <a:rPr lang="en-US" sz="1100" i="1" u="sng">
              <a:solidFill>
                <a:schemeClr val="dk1"/>
              </a:solidFill>
              <a:effectLst/>
              <a:latin typeface="+mn-lt"/>
              <a:ea typeface="+mn-ea"/>
              <a:cs typeface="+mn-cs"/>
              <a:hlinkClick xmlns:r="http://schemas.openxmlformats.org/officeDocument/2006/relationships" r:id=""/>
            </a:rPr>
            <a:t>travis@welovecleanrivers.org</a:t>
          </a:r>
          <a:r>
            <a:rPr lang="en-US" sz="1100" i="1">
              <a:solidFill>
                <a:schemeClr val="dk1"/>
              </a:solidFill>
              <a:effectLst/>
              <a:latin typeface="+mn-lt"/>
              <a:ea typeface="+mn-ea"/>
              <a:cs typeface="+mn-cs"/>
            </a:rPr>
            <a:t> or more general organization emails can be directed to </a:t>
          </a:r>
          <a:r>
            <a:rPr lang="en-US" sz="1100" i="1" u="sng">
              <a:solidFill>
                <a:schemeClr val="dk1"/>
              </a:solidFill>
              <a:effectLst/>
              <a:latin typeface="+mn-lt"/>
              <a:ea typeface="+mn-ea"/>
              <a:cs typeface="+mn-cs"/>
              <a:hlinkClick xmlns:r="http://schemas.openxmlformats.org/officeDocument/2006/relationships" r:id=""/>
            </a:rPr>
            <a:t>info@welovecleanrivers.org</a:t>
          </a:r>
          <a:r>
            <a:rPr lang="en-US" sz="1100" i="1">
              <a:solidFill>
                <a:schemeClr val="dk1"/>
              </a:solidFill>
              <a:effectLst/>
              <a:latin typeface="+mn-lt"/>
              <a:ea typeface="+mn-ea"/>
              <a:cs typeface="+mn-cs"/>
            </a:rPr>
            <a:t>.</a:t>
          </a:r>
        </a:p>
        <a:p>
          <a:endParaRPr 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H:\graphs%20for%20Down%20by%20the%20River.xlsx" TargetMode="External"/><Relationship Id="rId1" Type="http://schemas.openxmlformats.org/officeDocument/2006/relationships/externalLinkPath" Target="file:///H:\graphs%20for%20Down%20by%20the%20River.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H:\Down%20by%20the%20River\Down%20by%20the%20River%202025%20graphs.xlsx" TargetMode="External"/><Relationship Id="rId1" Type="http://schemas.openxmlformats.org/officeDocument/2006/relationships/externalLinkPath" Target="file:///H:\Down%20by%20the%20River\Down%20by%20the%20River%202025%20grap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s>
    <sheetDataSet>
      <sheetData sheetId="0">
        <row r="5">
          <cell r="C5">
            <v>2024</v>
          </cell>
          <cell r="D5">
            <v>2023</v>
          </cell>
          <cell r="E5">
            <v>2022</v>
          </cell>
          <cell r="F5">
            <v>2021</v>
          </cell>
          <cell r="G5">
            <v>2020</v>
          </cell>
          <cell r="H5">
            <v>2019</v>
          </cell>
          <cell r="I5">
            <v>2018</v>
          </cell>
          <cell r="J5">
            <v>2017</v>
          </cell>
          <cell r="K5">
            <v>2016</v>
          </cell>
          <cell r="L5">
            <v>2015</v>
          </cell>
          <cell r="M5">
            <v>2014</v>
          </cell>
          <cell r="N5">
            <v>2013</v>
          </cell>
          <cell r="O5">
            <v>2012</v>
          </cell>
          <cell r="P5">
            <v>2011</v>
          </cell>
          <cell r="Q5">
            <v>2010</v>
          </cell>
          <cell r="R5">
            <v>2009</v>
          </cell>
          <cell r="S5">
            <v>2008</v>
          </cell>
          <cell r="T5">
            <v>2007</v>
          </cell>
          <cell r="U5">
            <v>2006</v>
          </cell>
          <cell r="V5">
            <v>2005</v>
          </cell>
          <cell r="W5">
            <v>2004</v>
          </cell>
        </row>
        <row r="6">
          <cell r="C6">
            <v>16</v>
          </cell>
          <cell r="D6">
            <v>16</v>
          </cell>
          <cell r="E6">
            <v>17</v>
          </cell>
          <cell r="H6">
            <v>15</v>
          </cell>
          <cell r="I6">
            <v>13</v>
          </cell>
          <cell r="J6">
            <v>15</v>
          </cell>
          <cell r="K6">
            <v>18</v>
          </cell>
          <cell r="L6">
            <v>15</v>
          </cell>
          <cell r="M6">
            <v>14</v>
          </cell>
          <cell r="N6">
            <v>18</v>
          </cell>
          <cell r="O6">
            <v>18</v>
          </cell>
          <cell r="P6">
            <v>16</v>
          </cell>
          <cell r="Q6">
            <v>12</v>
          </cell>
          <cell r="R6">
            <v>15</v>
          </cell>
          <cell r="S6">
            <v>19</v>
          </cell>
          <cell r="T6">
            <v>21</v>
          </cell>
          <cell r="U6">
            <v>31</v>
          </cell>
          <cell r="V6">
            <v>27</v>
          </cell>
          <cell r="W6">
            <v>37</v>
          </cell>
        </row>
        <row r="12">
          <cell r="R12">
            <v>2016</v>
          </cell>
          <cell r="S12">
            <v>2017</v>
          </cell>
          <cell r="T12">
            <v>2018</v>
          </cell>
          <cell r="U12">
            <v>2019</v>
          </cell>
          <cell r="V12">
            <v>2021</v>
          </cell>
          <cell r="W12">
            <v>2022</v>
          </cell>
          <cell r="X12">
            <v>2023</v>
          </cell>
          <cell r="Y12">
            <v>2024</v>
          </cell>
        </row>
        <row r="13">
          <cell r="Q13" t="str">
            <v>Barton</v>
          </cell>
          <cell r="R13">
            <v>0.23</v>
          </cell>
          <cell r="S13">
            <v>0.56000000000000005</v>
          </cell>
          <cell r="T13">
            <v>0.44</v>
          </cell>
          <cell r="U13">
            <v>0.18</v>
          </cell>
          <cell r="V13">
            <v>0.1</v>
          </cell>
          <cell r="W13">
            <v>0.13</v>
          </cell>
          <cell r="X13">
            <v>0.249</v>
          </cell>
          <cell r="Y13">
            <v>0.1</v>
          </cell>
        </row>
        <row r="14">
          <cell r="Q14" t="str">
            <v>Carver</v>
          </cell>
          <cell r="R14">
            <v>0.81</v>
          </cell>
          <cell r="S14">
            <v>0.41</v>
          </cell>
          <cell r="T14">
            <v>0.59</v>
          </cell>
          <cell r="U14">
            <v>0.35</v>
          </cell>
          <cell r="V14">
            <v>0.48</v>
          </cell>
          <cell r="W14">
            <v>0.11</v>
          </cell>
          <cell r="X14">
            <v>0.36</v>
          </cell>
          <cell r="Y14">
            <v>0.27</v>
          </cell>
        </row>
        <row r="15">
          <cell r="Q15" t="str">
            <v>Riverside</v>
          </cell>
          <cell r="R15">
            <v>0.56000000000000005</v>
          </cell>
          <cell r="S15">
            <v>0.52</v>
          </cell>
          <cell r="T15">
            <v>0.65</v>
          </cell>
          <cell r="U15">
            <v>0.63</v>
          </cell>
          <cell r="V15">
            <v>0.16</v>
          </cell>
          <cell r="W15">
            <v>0.09</v>
          </cell>
          <cell r="X15">
            <v>0.32</v>
          </cell>
          <cell r="Y15">
            <v>0.28999999999999998</v>
          </cell>
        </row>
        <row r="16">
          <cell r="Q16" t="str">
            <v>Clackamette</v>
          </cell>
          <cell r="R16">
            <v>0.2</v>
          </cell>
          <cell r="S16">
            <v>0.41</v>
          </cell>
          <cell r="T16">
            <v>0.47</v>
          </cell>
          <cell r="U16">
            <v>0.1</v>
          </cell>
          <cell r="V16">
            <v>0.32</v>
          </cell>
          <cell r="W16">
            <v>0.15</v>
          </cell>
          <cell r="X16">
            <v>0.09</v>
          </cell>
          <cell r="Y16">
            <v>0.11</v>
          </cell>
        </row>
        <row r="26">
          <cell r="D26">
            <v>2013</v>
          </cell>
          <cell r="E26">
            <v>0.28999999999999998</v>
          </cell>
        </row>
        <row r="27">
          <cell r="D27">
            <v>2014</v>
          </cell>
          <cell r="E27">
            <v>0.15</v>
          </cell>
        </row>
        <row r="28">
          <cell r="D28">
            <v>2015</v>
          </cell>
          <cell r="E28">
            <v>0.3</v>
          </cell>
        </row>
        <row r="29">
          <cell r="D29">
            <v>2016</v>
          </cell>
          <cell r="E29">
            <v>0.23</v>
          </cell>
        </row>
        <row r="30">
          <cell r="D30">
            <v>2017</v>
          </cell>
          <cell r="E30">
            <v>0.56000000000000005</v>
          </cell>
        </row>
        <row r="31">
          <cell r="D31">
            <v>2018</v>
          </cell>
          <cell r="E31">
            <v>0.44</v>
          </cell>
        </row>
        <row r="32">
          <cell r="D32">
            <v>2019</v>
          </cell>
          <cell r="E32">
            <v>0.18</v>
          </cell>
        </row>
        <row r="33">
          <cell r="D33">
            <v>2020</v>
          </cell>
        </row>
        <row r="34">
          <cell r="D34">
            <v>2021</v>
          </cell>
          <cell r="E34">
            <v>0.1</v>
          </cell>
        </row>
        <row r="35">
          <cell r="D35">
            <v>2022</v>
          </cell>
          <cell r="E35">
            <v>0.13</v>
          </cell>
        </row>
        <row r="36">
          <cell r="D36">
            <v>2023</v>
          </cell>
          <cell r="E36">
            <v>0.249</v>
          </cell>
        </row>
        <row r="37">
          <cell r="D37">
            <v>2024</v>
          </cell>
          <cell r="E37">
            <v>0.1</v>
          </cell>
        </row>
        <row r="39">
          <cell r="R39" t="str">
            <v>Recyclables</v>
          </cell>
          <cell r="S39">
            <v>665</v>
          </cell>
        </row>
        <row r="40">
          <cell r="R40" t="str">
            <v>Trash</v>
          </cell>
          <cell r="S40">
            <v>875</v>
          </cell>
        </row>
        <row r="43">
          <cell r="D43">
            <v>2013</v>
          </cell>
          <cell r="E43">
            <v>0.88</v>
          </cell>
        </row>
        <row r="44">
          <cell r="D44">
            <v>2014</v>
          </cell>
          <cell r="E44">
            <v>1.02</v>
          </cell>
        </row>
        <row r="45">
          <cell r="D45">
            <v>2015</v>
          </cell>
          <cell r="E45">
            <v>0.69</v>
          </cell>
        </row>
        <row r="46">
          <cell r="D46">
            <v>2016</v>
          </cell>
          <cell r="E46">
            <v>0.81</v>
          </cell>
        </row>
        <row r="47">
          <cell r="D47">
            <v>2017</v>
          </cell>
          <cell r="E47">
            <v>0.41</v>
          </cell>
        </row>
        <row r="48">
          <cell r="D48">
            <v>2018</v>
          </cell>
          <cell r="E48">
            <v>0.59</v>
          </cell>
        </row>
        <row r="49">
          <cell r="D49">
            <v>2019</v>
          </cell>
          <cell r="E49">
            <v>0.35</v>
          </cell>
        </row>
        <row r="50">
          <cell r="D50">
            <v>2020</v>
          </cell>
        </row>
        <row r="51">
          <cell r="D51">
            <v>2021</v>
          </cell>
          <cell r="E51">
            <v>0.48</v>
          </cell>
        </row>
        <row r="52">
          <cell r="D52">
            <v>2022</v>
          </cell>
          <cell r="E52">
            <v>0.11</v>
          </cell>
        </row>
        <row r="53">
          <cell r="D53">
            <v>2023</v>
          </cell>
          <cell r="E53">
            <v>0.36</v>
          </cell>
        </row>
        <row r="54">
          <cell r="D54">
            <v>2024</v>
          </cell>
          <cell r="E54">
            <v>0.27</v>
          </cell>
        </row>
        <row r="59">
          <cell r="D59">
            <v>2013</v>
          </cell>
          <cell r="E59">
            <v>1.02</v>
          </cell>
        </row>
        <row r="60">
          <cell r="D60">
            <v>2014</v>
          </cell>
          <cell r="E60">
            <v>1.22</v>
          </cell>
          <cell r="P60" t="str">
            <v>Aluminum cans</v>
          </cell>
          <cell r="Q60">
            <v>5</v>
          </cell>
        </row>
        <row r="61">
          <cell r="D61">
            <v>2015</v>
          </cell>
          <cell r="E61">
            <v>0.5</v>
          </cell>
          <cell r="P61" t="str">
            <v>Glass</v>
          </cell>
          <cell r="Q61">
            <v>0</v>
          </cell>
        </row>
        <row r="62">
          <cell r="D62">
            <v>2016</v>
          </cell>
          <cell r="E62">
            <v>0.56000000000000005</v>
          </cell>
          <cell r="P62" t="str">
            <v>Metal</v>
          </cell>
          <cell r="Q62">
            <v>308</v>
          </cell>
        </row>
        <row r="63">
          <cell r="D63">
            <v>2017</v>
          </cell>
          <cell r="E63">
            <v>0.52</v>
          </cell>
          <cell r="P63" t="str">
            <v>Plastic</v>
          </cell>
          <cell r="Q63">
            <v>7</v>
          </cell>
        </row>
        <row r="64">
          <cell r="D64">
            <v>2018</v>
          </cell>
          <cell r="E64">
            <v>0.65</v>
          </cell>
          <cell r="P64" t="str">
            <v>Tires</v>
          </cell>
          <cell r="Q64">
            <v>270</v>
          </cell>
        </row>
        <row r="65">
          <cell r="D65">
            <v>2019</v>
          </cell>
          <cell r="E65">
            <v>0.63</v>
          </cell>
          <cell r="P65" t="str">
            <v>Trash</v>
          </cell>
          <cell r="Q65">
            <v>875</v>
          </cell>
        </row>
        <row r="66">
          <cell r="D66">
            <v>2020</v>
          </cell>
        </row>
        <row r="67">
          <cell r="D67">
            <v>2021</v>
          </cell>
          <cell r="E67">
            <v>0.16</v>
          </cell>
        </row>
        <row r="68">
          <cell r="D68">
            <v>2022</v>
          </cell>
          <cell r="E68">
            <v>0.09</v>
          </cell>
        </row>
        <row r="69">
          <cell r="D69">
            <v>2023</v>
          </cell>
          <cell r="E69">
            <v>0.32</v>
          </cell>
        </row>
        <row r="70">
          <cell r="D70">
            <v>2024</v>
          </cell>
          <cell r="E70">
            <v>0.28999999999999998</v>
          </cell>
        </row>
        <row r="76">
          <cell r="D76">
            <v>2013</v>
          </cell>
          <cell r="E76">
            <v>0.92</v>
          </cell>
        </row>
        <row r="77">
          <cell r="D77">
            <v>2014</v>
          </cell>
          <cell r="E77">
            <v>0.42</v>
          </cell>
        </row>
        <row r="78">
          <cell r="D78">
            <v>2015</v>
          </cell>
          <cell r="E78">
            <v>0.41</v>
          </cell>
        </row>
        <row r="79">
          <cell r="D79">
            <v>2016</v>
          </cell>
          <cell r="E79">
            <v>0.2</v>
          </cell>
        </row>
        <row r="80">
          <cell r="D80">
            <v>2017</v>
          </cell>
          <cell r="E80">
            <v>0.41</v>
          </cell>
        </row>
        <row r="81">
          <cell r="D81">
            <v>2018</v>
          </cell>
          <cell r="E81">
            <v>0.47</v>
          </cell>
        </row>
        <row r="82">
          <cell r="D82">
            <v>2019</v>
          </cell>
          <cell r="E82">
            <v>0.1</v>
          </cell>
        </row>
        <row r="83">
          <cell r="D83">
            <v>2020</v>
          </cell>
        </row>
        <row r="84">
          <cell r="D84">
            <v>2021</v>
          </cell>
          <cell r="E84">
            <v>0.32</v>
          </cell>
        </row>
        <row r="85">
          <cell r="D85">
            <v>2022</v>
          </cell>
          <cell r="E85">
            <v>0.15</v>
          </cell>
        </row>
        <row r="86">
          <cell r="D86">
            <v>2023</v>
          </cell>
          <cell r="E86">
            <v>0.09</v>
          </cell>
        </row>
        <row r="87">
          <cell r="D87">
            <v>2024</v>
          </cell>
          <cell r="E87">
            <v>0.11</v>
          </cell>
        </row>
        <row r="95">
          <cell r="D95">
            <v>2013</v>
          </cell>
          <cell r="E95">
            <v>2014</v>
          </cell>
          <cell r="F95">
            <v>2015</v>
          </cell>
          <cell r="G95">
            <v>2016</v>
          </cell>
          <cell r="H95">
            <v>2017</v>
          </cell>
          <cell r="I95">
            <v>2018</v>
          </cell>
          <cell r="J95">
            <v>2019</v>
          </cell>
          <cell r="K95">
            <v>2022</v>
          </cell>
          <cell r="L95">
            <v>2023</v>
          </cell>
          <cell r="M95">
            <v>2024</v>
          </cell>
        </row>
        <row r="96">
          <cell r="D96">
            <v>355</v>
          </cell>
          <cell r="E96">
            <v>401</v>
          </cell>
          <cell r="F96">
            <v>256</v>
          </cell>
          <cell r="G96">
            <v>200</v>
          </cell>
          <cell r="H96">
            <v>248</v>
          </cell>
          <cell r="I96">
            <v>330</v>
          </cell>
          <cell r="J96">
            <v>164</v>
          </cell>
          <cell r="K96">
            <v>55</v>
          </cell>
          <cell r="L96">
            <v>129</v>
          </cell>
          <cell r="M96">
            <v>159</v>
          </cell>
        </row>
        <row r="117">
          <cell r="D117">
            <v>2013</v>
          </cell>
          <cell r="E117">
            <v>2014</v>
          </cell>
          <cell r="F117">
            <v>2015</v>
          </cell>
          <cell r="G117">
            <v>2016</v>
          </cell>
          <cell r="H117">
            <v>2017</v>
          </cell>
          <cell r="I117">
            <v>2018</v>
          </cell>
          <cell r="J117">
            <v>2019</v>
          </cell>
          <cell r="K117">
            <v>2021</v>
          </cell>
          <cell r="L117">
            <v>2022</v>
          </cell>
          <cell r="M117">
            <v>2023</v>
          </cell>
          <cell r="N117">
            <v>2024</v>
          </cell>
        </row>
        <row r="118">
          <cell r="D118">
            <v>3.1</v>
          </cell>
          <cell r="E118">
            <v>2.81</v>
          </cell>
          <cell r="F118">
            <v>1.9</v>
          </cell>
          <cell r="G118">
            <v>1.8</v>
          </cell>
          <cell r="H118">
            <v>1.9</v>
          </cell>
          <cell r="I118">
            <v>2.15</v>
          </cell>
          <cell r="J118">
            <v>1.26</v>
          </cell>
          <cell r="K118">
            <v>1.06</v>
          </cell>
          <cell r="L118">
            <v>0.48</v>
          </cell>
          <cell r="M118">
            <v>1.0189999999999999</v>
          </cell>
          <cell r="N118">
            <v>0.77</v>
          </cell>
        </row>
        <row r="138">
          <cell r="D138">
            <v>2013</v>
          </cell>
          <cell r="E138">
            <v>3.1</v>
          </cell>
        </row>
        <row r="139">
          <cell r="D139">
            <v>2014</v>
          </cell>
          <cell r="E139">
            <v>2.81</v>
          </cell>
        </row>
        <row r="140">
          <cell r="D140">
            <v>2015</v>
          </cell>
          <cell r="E140">
            <v>1.9</v>
          </cell>
        </row>
        <row r="141">
          <cell r="D141">
            <v>2016</v>
          </cell>
          <cell r="E141">
            <v>1.8</v>
          </cell>
        </row>
        <row r="142">
          <cell r="D142">
            <v>2017</v>
          </cell>
          <cell r="E142">
            <v>1.9</v>
          </cell>
        </row>
        <row r="143">
          <cell r="D143">
            <v>2018</v>
          </cell>
          <cell r="E143">
            <v>2.15</v>
          </cell>
        </row>
        <row r="144">
          <cell r="D144">
            <v>2019</v>
          </cell>
          <cell r="E144">
            <v>1.26</v>
          </cell>
        </row>
        <row r="145">
          <cell r="D145">
            <v>2021</v>
          </cell>
          <cell r="E145">
            <v>1.06</v>
          </cell>
        </row>
        <row r="146">
          <cell r="D146">
            <v>2022</v>
          </cell>
          <cell r="E146">
            <v>0.48</v>
          </cell>
        </row>
        <row r="147">
          <cell r="D147">
            <v>2023</v>
          </cell>
          <cell r="E147">
            <v>1.0189999999999999</v>
          </cell>
        </row>
        <row r="148">
          <cell r="D148">
            <v>2024</v>
          </cell>
          <cell r="E148">
            <v>0.77</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s>
    <sheetDataSet>
      <sheetData sheetId="0">
        <row r="3">
          <cell r="B3">
            <v>2014</v>
          </cell>
          <cell r="C3">
            <v>0.42</v>
          </cell>
          <cell r="N3">
            <v>2014</v>
          </cell>
          <cell r="O3">
            <v>0.15</v>
          </cell>
        </row>
        <row r="4">
          <cell r="B4">
            <v>2015</v>
          </cell>
          <cell r="C4">
            <v>0.41</v>
          </cell>
          <cell r="N4">
            <v>2015</v>
          </cell>
          <cell r="O4">
            <v>0.3</v>
          </cell>
        </row>
        <row r="5">
          <cell r="B5">
            <v>2016</v>
          </cell>
          <cell r="C5">
            <v>0.2</v>
          </cell>
          <cell r="N5">
            <v>2016</v>
          </cell>
          <cell r="O5">
            <v>0.23</v>
          </cell>
        </row>
        <row r="6">
          <cell r="B6">
            <v>2017</v>
          </cell>
          <cell r="C6">
            <v>0.41</v>
          </cell>
          <cell r="N6">
            <v>2017</v>
          </cell>
          <cell r="O6">
            <v>0.56000000000000005</v>
          </cell>
        </row>
        <row r="7">
          <cell r="B7">
            <v>2018</v>
          </cell>
          <cell r="C7">
            <v>0.47</v>
          </cell>
          <cell r="N7">
            <v>2018</v>
          </cell>
          <cell r="O7">
            <v>0.44</v>
          </cell>
        </row>
        <row r="8">
          <cell r="B8">
            <v>2019</v>
          </cell>
          <cell r="C8">
            <v>0.1</v>
          </cell>
          <cell r="N8">
            <v>2019</v>
          </cell>
          <cell r="O8">
            <v>0.18</v>
          </cell>
        </row>
        <row r="9">
          <cell r="B9">
            <v>2020</v>
          </cell>
          <cell r="N9">
            <v>2020</v>
          </cell>
        </row>
        <row r="10">
          <cell r="B10">
            <v>2021</v>
          </cell>
          <cell r="C10">
            <v>0.32</v>
          </cell>
          <cell r="N10">
            <v>2021</v>
          </cell>
          <cell r="O10">
            <v>0.1</v>
          </cell>
        </row>
        <row r="11">
          <cell r="B11">
            <v>2022</v>
          </cell>
          <cell r="C11">
            <v>0.15</v>
          </cell>
          <cell r="N11">
            <v>2022</v>
          </cell>
          <cell r="O11">
            <v>0.13</v>
          </cell>
        </row>
        <row r="12">
          <cell r="B12">
            <v>2023</v>
          </cell>
          <cell r="C12">
            <v>0.09</v>
          </cell>
          <cell r="N12">
            <v>2023</v>
          </cell>
          <cell r="O12">
            <v>0.249</v>
          </cell>
        </row>
        <row r="13">
          <cell r="B13">
            <v>2024</v>
          </cell>
          <cell r="C13">
            <v>0.11</v>
          </cell>
          <cell r="N13">
            <v>2024</v>
          </cell>
          <cell r="O13">
            <v>0.1</v>
          </cell>
        </row>
        <row r="14">
          <cell r="N14">
            <v>2025</v>
          </cell>
          <cell r="O14">
            <v>0.28999999999999998</v>
          </cell>
        </row>
        <row r="21">
          <cell r="B21">
            <v>2014</v>
          </cell>
          <cell r="C21">
            <v>2015</v>
          </cell>
          <cell r="D21">
            <v>2016</v>
          </cell>
          <cell r="E21">
            <v>2017</v>
          </cell>
          <cell r="F21">
            <v>2018</v>
          </cell>
          <cell r="G21">
            <v>2019</v>
          </cell>
          <cell r="H21">
            <v>2022</v>
          </cell>
          <cell r="I21">
            <v>2023</v>
          </cell>
          <cell r="J21">
            <v>2024</v>
          </cell>
          <cell r="K21">
            <v>2025</v>
          </cell>
        </row>
        <row r="22">
          <cell r="B22">
            <v>401</v>
          </cell>
          <cell r="C22">
            <v>256</v>
          </cell>
          <cell r="D22">
            <v>200</v>
          </cell>
          <cell r="E22">
            <v>248</v>
          </cell>
          <cell r="F22">
            <v>330</v>
          </cell>
          <cell r="G22">
            <v>164</v>
          </cell>
          <cell r="H22">
            <v>55</v>
          </cell>
          <cell r="I22">
            <v>129</v>
          </cell>
          <cell r="J22">
            <v>159</v>
          </cell>
          <cell r="K22">
            <v>179</v>
          </cell>
          <cell r="N22">
            <v>2014</v>
          </cell>
          <cell r="O22">
            <v>1.02</v>
          </cell>
        </row>
        <row r="23">
          <cell r="N23">
            <v>2015</v>
          </cell>
          <cell r="O23">
            <v>0.69</v>
          </cell>
        </row>
        <row r="24">
          <cell r="N24">
            <v>2016</v>
          </cell>
          <cell r="O24">
            <v>0.81</v>
          </cell>
        </row>
        <row r="25">
          <cell r="N25">
            <v>2017</v>
          </cell>
          <cell r="O25">
            <v>0.41</v>
          </cell>
        </row>
        <row r="26">
          <cell r="N26">
            <v>2018</v>
          </cell>
          <cell r="O26">
            <v>0.59</v>
          </cell>
        </row>
        <row r="27">
          <cell r="N27">
            <v>2019</v>
          </cell>
          <cell r="O27">
            <v>0.35</v>
          </cell>
        </row>
        <row r="28">
          <cell r="N28">
            <v>2020</v>
          </cell>
        </row>
        <row r="29">
          <cell r="N29">
            <v>2021</v>
          </cell>
          <cell r="O29">
            <v>0.48</v>
          </cell>
        </row>
        <row r="30">
          <cell r="N30">
            <v>2022</v>
          </cell>
          <cell r="O30">
            <v>0.11</v>
          </cell>
        </row>
        <row r="31">
          <cell r="N31">
            <v>2023</v>
          </cell>
          <cell r="O31">
            <v>0.36</v>
          </cell>
        </row>
        <row r="32">
          <cell r="N32">
            <v>2024</v>
          </cell>
          <cell r="O32">
            <v>0.27</v>
          </cell>
        </row>
        <row r="33">
          <cell r="N33">
            <v>2025</v>
          </cell>
          <cell r="O33">
            <v>0.5</v>
          </cell>
        </row>
        <row r="40">
          <cell r="Q40">
            <v>2017</v>
          </cell>
          <cell r="R40">
            <v>2018</v>
          </cell>
          <cell r="S40">
            <v>2019</v>
          </cell>
          <cell r="T40">
            <v>2021</v>
          </cell>
          <cell r="U40">
            <v>2022</v>
          </cell>
          <cell r="V40">
            <v>2023</v>
          </cell>
          <cell r="W40">
            <v>2024</v>
          </cell>
          <cell r="X40">
            <v>2025</v>
          </cell>
        </row>
        <row r="41">
          <cell r="P41" t="str">
            <v>Barton</v>
          </cell>
          <cell r="Q41">
            <v>0.56000000000000005</v>
          </cell>
          <cell r="R41">
            <v>0.44</v>
          </cell>
          <cell r="S41">
            <v>0.18</v>
          </cell>
          <cell r="T41">
            <v>0.1</v>
          </cell>
          <cell r="U41">
            <v>0.13</v>
          </cell>
          <cell r="V41">
            <v>0.249</v>
          </cell>
          <cell r="W41">
            <v>0.1</v>
          </cell>
          <cell r="X41">
            <v>0.28999999999999998</v>
          </cell>
        </row>
        <row r="42">
          <cell r="P42" t="str">
            <v>Carver</v>
          </cell>
          <cell r="Q42">
            <v>0.41</v>
          </cell>
          <cell r="R42">
            <v>0.59</v>
          </cell>
          <cell r="S42">
            <v>0.35</v>
          </cell>
          <cell r="T42">
            <v>0.48</v>
          </cell>
          <cell r="U42">
            <v>0.11</v>
          </cell>
          <cell r="V42">
            <v>0.36</v>
          </cell>
          <cell r="W42">
            <v>0.27</v>
          </cell>
          <cell r="X42">
            <v>0.5</v>
          </cell>
        </row>
        <row r="43">
          <cell r="C43">
            <v>2014</v>
          </cell>
          <cell r="D43">
            <v>1.22</v>
          </cell>
          <cell r="P43" t="str">
            <v>Riverside</v>
          </cell>
          <cell r="Q43">
            <v>0.52</v>
          </cell>
          <cell r="R43">
            <v>0.65</v>
          </cell>
          <cell r="S43">
            <v>0.63</v>
          </cell>
          <cell r="T43">
            <v>0.16</v>
          </cell>
          <cell r="U43">
            <v>0.09</v>
          </cell>
          <cell r="V43">
            <v>0.32</v>
          </cell>
          <cell r="W43">
            <v>0.28999999999999998</v>
          </cell>
          <cell r="X43">
            <v>0.24</v>
          </cell>
        </row>
        <row r="44">
          <cell r="C44">
            <v>2015</v>
          </cell>
          <cell r="D44">
            <v>0.5</v>
          </cell>
          <cell r="P44" t="str">
            <v>Clackamette</v>
          </cell>
          <cell r="Q44">
            <v>0.2</v>
          </cell>
          <cell r="R44">
            <v>0.47</v>
          </cell>
          <cell r="S44">
            <v>0.1</v>
          </cell>
          <cell r="T44">
            <v>0.32</v>
          </cell>
          <cell r="U44">
            <v>0.15</v>
          </cell>
          <cell r="V44">
            <v>0.09</v>
          </cell>
          <cell r="W44">
            <v>0.11</v>
          </cell>
          <cell r="X44">
            <v>0.35</v>
          </cell>
        </row>
        <row r="45">
          <cell r="C45">
            <v>2016</v>
          </cell>
          <cell r="D45">
            <v>0.56000000000000005</v>
          </cell>
        </row>
        <row r="46">
          <cell r="C46">
            <v>2017</v>
          </cell>
          <cell r="D46">
            <v>0.52</v>
          </cell>
        </row>
        <row r="47">
          <cell r="C47">
            <v>2018</v>
          </cell>
          <cell r="D47">
            <v>0.65</v>
          </cell>
        </row>
        <row r="48">
          <cell r="C48">
            <v>2019</v>
          </cell>
          <cell r="D48">
            <v>0.63</v>
          </cell>
        </row>
        <row r="49">
          <cell r="C49">
            <v>2020</v>
          </cell>
        </row>
        <row r="50">
          <cell r="C50">
            <v>2021</v>
          </cell>
          <cell r="D50">
            <v>0.16</v>
          </cell>
        </row>
        <row r="51">
          <cell r="C51">
            <v>2022</v>
          </cell>
          <cell r="D51">
            <v>0.09</v>
          </cell>
        </row>
        <row r="52">
          <cell r="C52">
            <v>2023</v>
          </cell>
          <cell r="D52">
            <v>0.32</v>
          </cell>
        </row>
        <row r="53">
          <cell r="C53">
            <v>2024</v>
          </cell>
          <cell r="D53">
            <v>0.28999999999999998</v>
          </cell>
        </row>
        <row r="54">
          <cell r="C54">
            <v>2025</v>
          </cell>
          <cell r="D54">
            <v>0.24</v>
          </cell>
        </row>
        <row r="64">
          <cell r="E64">
            <v>2004</v>
          </cell>
          <cell r="F64">
            <v>2005</v>
          </cell>
          <cell r="G64">
            <v>2006</v>
          </cell>
          <cell r="H64">
            <v>2007</v>
          </cell>
          <cell r="I64">
            <v>2008</v>
          </cell>
          <cell r="J64">
            <v>2009</v>
          </cell>
          <cell r="K64">
            <v>2010</v>
          </cell>
          <cell r="L64">
            <v>2010</v>
          </cell>
          <cell r="M64">
            <v>2011</v>
          </cell>
          <cell r="N64">
            <v>2012</v>
          </cell>
          <cell r="O64">
            <v>2013</v>
          </cell>
          <cell r="P64">
            <v>2014</v>
          </cell>
          <cell r="Q64">
            <v>2015</v>
          </cell>
          <cell r="R64">
            <v>2016</v>
          </cell>
          <cell r="S64">
            <v>2017</v>
          </cell>
          <cell r="T64">
            <v>2018</v>
          </cell>
          <cell r="U64">
            <v>2019</v>
          </cell>
          <cell r="V64">
            <v>2022</v>
          </cell>
          <cell r="W64">
            <v>2023</v>
          </cell>
          <cell r="X64">
            <v>2024</v>
          </cell>
          <cell r="Y64">
            <v>2025</v>
          </cell>
        </row>
        <row r="65">
          <cell r="E65">
            <v>37</v>
          </cell>
          <cell r="F65">
            <v>27</v>
          </cell>
          <cell r="G65">
            <v>31</v>
          </cell>
          <cell r="H65">
            <v>27</v>
          </cell>
          <cell r="I65">
            <v>19</v>
          </cell>
          <cell r="J65">
            <v>15</v>
          </cell>
          <cell r="K65">
            <v>12</v>
          </cell>
          <cell r="L65">
            <v>16</v>
          </cell>
          <cell r="M65">
            <v>16</v>
          </cell>
          <cell r="N65">
            <v>18</v>
          </cell>
          <cell r="O65">
            <v>18</v>
          </cell>
          <cell r="P65">
            <v>14</v>
          </cell>
          <cell r="Q65">
            <v>15</v>
          </cell>
          <cell r="R65">
            <v>18</v>
          </cell>
          <cell r="S65">
            <v>15</v>
          </cell>
          <cell r="T65">
            <v>13</v>
          </cell>
          <cell r="U65">
            <v>15</v>
          </cell>
          <cell r="V65">
            <v>17</v>
          </cell>
          <cell r="W65">
            <v>16</v>
          </cell>
          <cell r="X65">
            <v>16</v>
          </cell>
          <cell r="Y65">
            <v>15</v>
          </cell>
        </row>
        <row r="68">
          <cell r="P68" t="str">
            <v>Recyclable</v>
          </cell>
          <cell r="Q68">
            <v>251</v>
          </cell>
        </row>
        <row r="69">
          <cell r="P69" t="str">
            <v>Trash</v>
          </cell>
          <cell r="Q69">
            <v>449</v>
          </cell>
        </row>
        <row r="90">
          <cell r="F90" t="str">
            <v>Aluminum</v>
          </cell>
          <cell r="G90">
            <v>3</v>
          </cell>
        </row>
        <row r="91">
          <cell r="F91" t="str">
            <v>Glass</v>
          </cell>
          <cell r="G91">
            <v>2</v>
          </cell>
        </row>
        <row r="92">
          <cell r="F92" t="str">
            <v>Metal</v>
          </cell>
          <cell r="G92">
            <v>157</v>
          </cell>
        </row>
        <row r="93">
          <cell r="F93" t="str">
            <v>Plastic</v>
          </cell>
          <cell r="G93">
            <v>2</v>
          </cell>
        </row>
        <row r="94">
          <cell r="F94" t="str">
            <v>Tires</v>
          </cell>
          <cell r="G94">
            <v>85</v>
          </cell>
        </row>
        <row r="95">
          <cell r="F95" t="str">
            <v>Wood</v>
          </cell>
          <cell r="G95">
            <v>2</v>
          </cell>
        </row>
        <row r="96">
          <cell r="F96" t="str">
            <v>Trash</v>
          </cell>
          <cell r="G96">
            <v>449</v>
          </cell>
        </row>
        <row r="106">
          <cell r="F106">
            <v>2014</v>
          </cell>
          <cell r="G106">
            <v>2015</v>
          </cell>
          <cell r="H106">
            <v>2016</v>
          </cell>
          <cell r="I106">
            <v>2017</v>
          </cell>
          <cell r="J106">
            <v>2018</v>
          </cell>
          <cell r="K106">
            <v>2019</v>
          </cell>
          <cell r="L106">
            <v>2021</v>
          </cell>
          <cell r="M106">
            <v>2022</v>
          </cell>
          <cell r="N106">
            <v>2023</v>
          </cell>
          <cell r="O106">
            <v>2024</v>
          </cell>
          <cell r="P106">
            <v>2025</v>
          </cell>
        </row>
        <row r="107">
          <cell r="F107">
            <v>2.81</v>
          </cell>
          <cell r="G107">
            <v>1.9</v>
          </cell>
          <cell r="H107">
            <v>1.8</v>
          </cell>
          <cell r="I107">
            <v>1.9</v>
          </cell>
          <cell r="J107">
            <v>2.15</v>
          </cell>
          <cell r="K107">
            <v>1.26</v>
          </cell>
          <cell r="L107">
            <v>1.06</v>
          </cell>
          <cell r="M107">
            <v>0.48</v>
          </cell>
          <cell r="N107">
            <v>1.0189999999999999</v>
          </cell>
          <cell r="O107">
            <v>0.77</v>
          </cell>
          <cell r="P107">
            <v>1.38</v>
          </cell>
        </row>
        <row r="114">
          <cell r="N114">
            <v>2014</v>
          </cell>
          <cell r="O114">
            <v>2.81</v>
          </cell>
        </row>
        <row r="115">
          <cell r="N115">
            <v>2015</v>
          </cell>
          <cell r="O115">
            <v>1.9</v>
          </cell>
        </row>
        <row r="116">
          <cell r="N116">
            <v>2016</v>
          </cell>
          <cell r="O116">
            <v>1.8</v>
          </cell>
        </row>
        <row r="117">
          <cell r="N117">
            <v>2017</v>
          </cell>
          <cell r="O117">
            <v>1.9</v>
          </cell>
        </row>
        <row r="118">
          <cell r="N118">
            <v>2018</v>
          </cell>
          <cell r="O118">
            <v>2.15</v>
          </cell>
        </row>
        <row r="119">
          <cell r="N119">
            <v>2019</v>
          </cell>
          <cell r="O119">
            <v>1.26</v>
          </cell>
        </row>
        <row r="120">
          <cell r="N120">
            <v>2021</v>
          </cell>
          <cell r="O120">
            <v>1.06</v>
          </cell>
        </row>
        <row r="121">
          <cell r="N121">
            <v>2022</v>
          </cell>
          <cell r="O121">
            <v>0.48</v>
          </cell>
        </row>
        <row r="122">
          <cell r="N122">
            <v>2023</v>
          </cell>
          <cell r="O122">
            <v>1.0189999999999999</v>
          </cell>
        </row>
        <row r="123">
          <cell r="N123">
            <v>2024</v>
          </cell>
          <cell r="O123">
            <v>0.77</v>
          </cell>
        </row>
        <row r="124">
          <cell r="N124">
            <v>2025</v>
          </cell>
          <cell r="O124">
            <v>1.38</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69"/>
  <sheetViews>
    <sheetView topLeftCell="D40" workbookViewId="0">
      <selection activeCell="H44" sqref="H44"/>
    </sheetView>
  </sheetViews>
  <sheetFormatPr defaultColWidth="9.109375" defaultRowHeight="13.2" x14ac:dyDescent="0.25"/>
  <cols>
    <col min="1" max="16384" width="9.109375" style="7"/>
  </cols>
  <sheetData>
    <row r="1" spans="1:27" ht="36.75" customHeight="1" thickBot="1" x14ac:dyDescent="0.3"/>
    <row r="2" spans="1:27" ht="14.1" customHeight="1" thickBot="1" x14ac:dyDescent="0.35">
      <c r="A2" s="50" t="s">
        <v>19</v>
      </c>
      <c r="B2" s="51" t="s">
        <v>18</v>
      </c>
      <c r="C2" s="52" t="s">
        <v>75</v>
      </c>
      <c r="D2" s="53" t="s">
        <v>76</v>
      </c>
      <c r="E2" s="53" t="s">
        <v>77</v>
      </c>
      <c r="F2" s="53" t="s">
        <v>78</v>
      </c>
      <c r="G2" s="53" t="s">
        <v>17</v>
      </c>
      <c r="H2" s="53" t="s">
        <v>16</v>
      </c>
      <c r="I2" s="53" t="s">
        <v>36</v>
      </c>
      <c r="J2"/>
      <c r="K2"/>
      <c r="L2"/>
      <c r="M2"/>
      <c r="N2"/>
      <c r="O2"/>
      <c r="P2"/>
      <c r="Q2"/>
      <c r="R2"/>
      <c r="S2"/>
      <c r="T2"/>
      <c r="U2"/>
      <c r="V2"/>
      <c r="W2"/>
      <c r="X2"/>
      <c r="Y2"/>
      <c r="Z2"/>
      <c r="AA2"/>
    </row>
    <row r="3" spans="1:27" ht="16.2" thickBot="1" x14ac:dyDescent="0.35">
      <c r="A3" s="54">
        <v>2025</v>
      </c>
      <c r="B3" s="55">
        <v>179</v>
      </c>
      <c r="C3" s="56">
        <v>0.28999999999999998</v>
      </c>
      <c r="D3" s="57">
        <v>0.5</v>
      </c>
      <c r="E3" s="57">
        <v>0.24</v>
      </c>
      <c r="F3" s="57">
        <v>0.35</v>
      </c>
      <c r="G3" s="57">
        <v>1.38</v>
      </c>
      <c r="H3" s="57">
        <v>2760</v>
      </c>
      <c r="I3" s="57">
        <v>15</v>
      </c>
      <c r="J3"/>
      <c r="K3"/>
      <c r="L3"/>
      <c r="M3"/>
      <c r="N3"/>
      <c r="O3"/>
      <c r="P3"/>
      <c r="Q3"/>
      <c r="R3"/>
      <c r="S3"/>
      <c r="T3"/>
      <c r="U3"/>
      <c r="V3"/>
      <c r="W3"/>
      <c r="X3"/>
      <c r="Y3"/>
      <c r="Z3"/>
      <c r="AA3"/>
    </row>
    <row r="4" spans="1:27" ht="16.2" thickBot="1" x14ac:dyDescent="0.35">
      <c r="A4" s="58">
        <v>2024</v>
      </c>
      <c r="B4" s="59">
        <v>159</v>
      </c>
      <c r="C4" s="60">
        <v>0.1</v>
      </c>
      <c r="D4" s="61">
        <v>0.27</v>
      </c>
      <c r="E4" s="61">
        <v>0.28999999999999998</v>
      </c>
      <c r="F4" s="61">
        <v>0.11</v>
      </c>
      <c r="G4" s="61">
        <v>0.77</v>
      </c>
      <c r="H4" s="62">
        <v>1540</v>
      </c>
      <c r="I4" s="61">
        <v>10</v>
      </c>
      <c r="J4"/>
      <c r="K4"/>
      <c r="L4"/>
      <c r="M4"/>
      <c r="N4"/>
      <c r="O4"/>
      <c r="P4"/>
      <c r="Q4"/>
      <c r="R4"/>
      <c r="S4"/>
      <c r="T4"/>
      <c r="U4"/>
      <c r="V4"/>
      <c r="W4"/>
      <c r="X4"/>
      <c r="Y4"/>
      <c r="Z4"/>
      <c r="AA4"/>
    </row>
    <row r="5" spans="1:27" ht="16.2" thickBot="1" x14ac:dyDescent="0.35">
      <c r="A5" s="58">
        <v>2023</v>
      </c>
      <c r="B5" s="59">
        <v>129</v>
      </c>
      <c r="C5" s="60">
        <v>0.249</v>
      </c>
      <c r="D5" s="61">
        <v>0.36</v>
      </c>
      <c r="E5" s="61">
        <v>0.32</v>
      </c>
      <c r="F5" s="61">
        <v>0.09</v>
      </c>
      <c r="G5" s="61">
        <v>1.0189999999999999</v>
      </c>
      <c r="H5" s="62">
        <v>2038</v>
      </c>
      <c r="I5" s="61">
        <v>16</v>
      </c>
      <c r="J5"/>
      <c r="K5"/>
      <c r="L5"/>
      <c r="M5"/>
      <c r="N5"/>
      <c r="O5"/>
      <c r="P5"/>
      <c r="Q5"/>
      <c r="R5"/>
      <c r="S5"/>
      <c r="T5"/>
      <c r="U5"/>
      <c r="V5"/>
      <c r="W5"/>
      <c r="X5"/>
      <c r="Y5"/>
      <c r="Z5"/>
      <c r="AA5"/>
    </row>
    <row r="6" spans="1:27" ht="16.2" thickBot="1" x14ac:dyDescent="0.35">
      <c r="A6" s="58">
        <v>2022</v>
      </c>
      <c r="B6" s="59">
        <v>55</v>
      </c>
      <c r="C6" s="60">
        <v>0.13</v>
      </c>
      <c r="D6" s="61">
        <v>0.11</v>
      </c>
      <c r="E6" s="61">
        <v>0.09</v>
      </c>
      <c r="F6" s="61">
        <v>0.15</v>
      </c>
      <c r="G6" s="61">
        <v>0.48</v>
      </c>
      <c r="H6" s="61">
        <v>960</v>
      </c>
      <c r="I6" s="61">
        <v>17</v>
      </c>
      <c r="J6"/>
      <c r="K6"/>
      <c r="L6"/>
      <c r="M6"/>
      <c r="N6"/>
      <c r="O6"/>
      <c r="P6"/>
      <c r="Q6"/>
      <c r="R6"/>
      <c r="S6"/>
      <c r="T6"/>
      <c r="U6"/>
      <c r="V6"/>
      <c r="W6"/>
      <c r="X6"/>
      <c r="Y6"/>
      <c r="Z6"/>
      <c r="AA6"/>
    </row>
    <row r="7" spans="1:27" ht="16.2" thickBot="1" x14ac:dyDescent="0.35">
      <c r="A7" s="58">
        <v>2021</v>
      </c>
      <c r="B7" s="63"/>
      <c r="C7" s="60">
        <v>0.1</v>
      </c>
      <c r="D7" s="61">
        <v>0.48</v>
      </c>
      <c r="E7" s="61">
        <v>0.16</v>
      </c>
      <c r="F7" s="61">
        <v>0.32</v>
      </c>
      <c r="G7" s="61">
        <v>1.06</v>
      </c>
      <c r="H7" s="62">
        <v>2120</v>
      </c>
      <c r="I7" s="61"/>
      <c r="J7"/>
      <c r="K7"/>
      <c r="L7"/>
      <c r="M7"/>
      <c r="N7"/>
      <c r="O7"/>
      <c r="P7"/>
      <c r="Q7"/>
      <c r="R7"/>
      <c r="S7"/>
      <c r="T7"/>
      <c r="U7"/>
      <c r="V7"/>
      <c r="W7"/>
      <c r="X7"/>
      <c r="Y7"/>
      <c r="Z7"/>
      <c r="AA7"/>
    </row>
    <row r="8" spans="1:27" ht="16.2" thickBot="1" x14ac:dyDescent="0.35">
      <c r="A8" s="58">
        <v>2020</v>
      </c>
      <c r="B8" s="63"/>
      <c r="C8" s="60"/>
      <c r="D8" s="61"/>
      <c r="E8" s="61"/>
      <c r="F8" s="61"/>
      <c r="G8" s="64"/>
      <c r="H8" s="64"/>
      <c r="I8" s="64"/>
      <c r="J8"/>
      <c r="K8"/>
      <c r="L8"/>
      <c r="M8"/>
      <c r="N8"/>
      <c r="O8"/>
      <c r="P8"/>
      <c r="Q8"/>
      <c r="R8"/>
      <c r="S8"/>
      <c r="T8"/>
      <c r="U8"/>
      <c r="V8"/>
      <c r="W8"/>
      <c r="X8"/>
      <c r="Y8"/>
      <c r="Z8"/>
      <c r="AA8"/>
    </row>
    <row r="9" spans="1:27" ht="16.2" thickBot="1" x14ac:dyDescent="0.35">
      <c r="A9" s="58">
        <v>2019</v>
      </c>
      <c r="B9" s="59">
        <v>164</v>
      </c>
      <c r="C9" s="60">
        <v>0.18</v>
      </c>
      <c r="D9" s="61">
        <v>0.35</v>
      </c>
      <c r="E9" s="61">
        <v>0.63</v>
      </c>
      <c r="F9" s="61">
        <v>0.1</v>
      </c>
      <c r="G9" s="61">
        <v>1.26</v>
      </c>
      <c r="H9" s="62">
        <v>2520</v>
      </c>
      <c r="I9" s="61">
        <v>15</v>
      </c>
      <c r="J9"/>
      <c r="K9"/>
      <c r="L9"/>
      <c r="M9"/>
      <c r="N9"/>
      <c r="O9"/>
      <c r="P9"/>
      <c r="Q9"/>
      <c r="R9"/>
      <c r="S9"/>
      <c r="T9"/>
      <c r="U9"/>
      <c r="V9"/>
      <c r="W9"/>
      <c r="X9"/>
      <c r="Y9"/>
      <c r="Z9"/>
      <c r="AA9"/>
    </row>
    <row r="10" spans="1:27" ht="15.75" customHeight="1" thickBot="1" x14ac:dyDescent="0.35">
      <c r="A10" s="58">
        <v>2018</v>
      </c>
      <c r="B10" s="59">
        <v>330</v>
      </c>
      <c r="C10" s="60">
        <v>0.44</v>
      </c>
      <c r="D10" s="61">
        <v>0.59</v>
      </c>
      <c r="E10" s="61">
        <v>0.65</v>
      </c>
      <c r="F10" s="61">
        <v>0.47</v>
      </c>
      <c r="G10" s="61">
        <v>2.15</v>
      </c>
      <c r="H10" s="62">
        <v>4300</v>
      </c>
      <c r="I10" s="61">
        <v>13</v>
      </c>
      <c r="J10"/>
      <c r="K10"/>
      <c r="L10"/>
      <c r="M10"/>
      <c r="N10"/>
      <c r="O10"/>
      <c r="P10"/>
      <c r="Q10"/>
      <c r="R10"/>
      <c r="S10"/>
      <c r="T10"/>
      <c r="U10"/>
      <c r="V10"/>
      <c r="W10"/>
      <c r="X10"/>
      <c r="Y10"/>
      <c r="Z10"/>
      <c r="AA10"/>
    </row>
    <row r="11" spans="1:27" ht="16.2" thickBot="1" x14ac:dyDescent="0.35">
      <c r="A11" s="58">
        <v>2017</v>
      </c>
      <c r="B11" s="59">
        <v>248</v>
      </c>
      <c r="C11" s="60">
        <v>0.56000000000000005</v>
      </c>
      <c r="D11" s="61">
        <v>0.41</v>
      </c>
      <c r="E11" s="61">
        <v>0.52</v>
      </c>
      <c r="F11" s="61">
        <v>0.41</v>
      </c>
      <c r="G11" s="61">
        <v>1.9</v>
      </c>
      <c r="H11" s="62">
        <v>3800</v>
      </c>
      <c r="I11" s="61">
        <v>15</v>
      </c>
      <c r="J11"/>
      <c r="K11"/>
      <c r="L11"/>
      <c r="M11"/>
      <c r="N11"/>
      <c r="O11"/>
      <c r="P11"/>
      <c r="Q11"/>
      <c r="R11"/>
      <c r="S11"/>
      <c r="T11"/>
      <c r="U11"/>
      <c r="V11"/>
      <c r="W11"/>
      <c r="X11"/>
      <c r="Y11"/>
      <c r="Z11"/>
      <c r="AA11"/>
    </row>
    <row r="12" spans="1:27" ht="16.2" thickBot="1" x14ac:dyDescent="0.35">
      <c r="A12" s="58">
        <v>2016</v>
      </c>
      <c r="B12" s="59">
        <v>200</v>
      </c>
      <c r="C12" s="60">
        <v>0.23</v>
      </c>
      <c r="D12" s="61">
        <v>0.81</v>
      </c>
      <c r="E12" s="61">
        <v>0.56000000000000005</v>
      </c>
      <c r="F12" s="61">
        <v>0.2</v>
      </c>
      <c r="G12" s="61">
        <v>1.8</v>
      </c>
      <c r="H12" s="62">
        <v>3600</v>
      </c>
      <c r="I12" s="61">
        <v>18</v>
      </c>
      <c r="J12"/>
      <c r="K12"/>
      <c r="L12"/>
      <c r="M12"/>
      <c r="N12"/>
      <c r="O12"/>
      <c r="P12"/>
      <c r="Q12"/>
      <c r="R12"/>
      <c r="S12"/>
      <c r="T12"/>
      <c r="U12"/>
      <c r="V12"/>
      <c r="W12"/>
      <c r="X12"/>
      <c r="Y12"/>
      <c r="Z12"/>
      <c r="AA12"/>
    </row>
    <row r="13" spans="1:27" ht="16.2" thickBot="1" x14ac:dyDescent="0.35">
      <c r="A13" s="58">
        <v>2015</v>
      </c>
      <c r="B13" s="59">
        <v>256</v>
      </c>
      <c r="C13" s="60">
        <v>0.3</v>
      </c>
      <c r="D13" s="61">
        <v>0.69</v>
      </c>
      <c r="E13" s="61">
        <v>0.5</v>
      </c>
      <c r="F13" s="61">
        <v>0.41</v>
      </c>
      <c r="G13" s="61">
        <v>1.9</v>
      </c>
      <c r="H13" s="62">
        <v>3800</v>
      </c>
      <c r="I13" s="61">
        <v>15</v>
      </c>
      <c r="J13"/>
      <c r="K13"/>
      <c r="L13"/>
      <c r="M13"/>
      <c r="N13"/>
      <c r="O13"/>
      <c r="P13"/>
      <c r="Q13"/>
      <c r="R13"/>
      <c r="S13"/>
      <c r="T13"/>
      <c r="U13"/>
      <c r="V13"/>
      <c r="W13"/>
      <c r="X13"/>
      <c r="Y13"/>
      <c r="Z13"/>
      <c r="AA13"/>
    </row>
    <row r="14" spans="1:27" ht="16.2" thickBot="1" x14ac:dyDescent="0.35">
      <c r="A14" s="65">
        <v>2014</v>
      </c>
      <c r="B14" s="66">
        <v>401</v>
      </c>
      <c r="C14" s="67">
        <v>0.15</v>
      </c>
      <c r="D14" s="61">
        <v>1.02</v>
      </c>
      <c r="E14" s="61">
        <v>1.22</v>
      </c>
      <c r="F14" s="61">
        <v>0.42</v>
      </c>
      <c r="G14" s="61">
        <v>2.81</v>
      </c>
      <c r="H14" s="62">
        <v>5620</v>
      </c>
      <c r="I14" s="61">
        <v>14</v>
      </c>
      <c r="J14"/>
      <c r="K14"/>
      <c r="L14"/>
      <c r="M14"/>
      <c r="N14"/>
      <c r="O14"/>
      <c r="P14"/>
      <c r="Q14"/>
      <c r="R14"/>
      <c r="S14"/>
      <c r="T14"/>
      <c r="U14"/>
      <c r="V14"/>
      <c r="W14"/>
      <c r="X14"/>
      <c r="Y14"/>
      <c r="Z14"/>
      <c r="AA14"/>
    </row>
    <row r="15" spans="1:27" ht="16.2" thickBot="1" x14ac:dyDescent="0.35">
      <c r="A15" s="65">
        <v>2013</v>
      </c>
      <c r="B15" s="66">
        <v>355</v>
      </c>
      <c r="C15" s="67">
        <v>0.28999999999999998</v>
      </c>
      <c r="D15" s="61">
        <v>0.88</v>
      </c>
      <c r="E15" s="61">
        <v>1.02</v>
      </c>
      <c r="F15" s="61">
        <v>0.92</v>
      </c>
      <c r="G15" s="61">
        <v>3.11</v>
      </c>
      <c r="H15" s="62">
        <v>6220</v>
      </c>
      <c r="I15" s="61">
        <v>18</v>
      </c>
      <c r="J15"/>
      <c r="K15"/>
      <c r="L15"/>
      <c r="M15"/>
      <c r="N15"/>
      <c r="O15"/>
      <c r="P15"/>
      <c r="Q15"/>
      <c r="R15"/>
      <c r="S15"/>
      <c r="T15"/>
      <c r="U15"/>
      <c r="V15"/>
      <c r="W15"/>
      <c r="X15"/>
      <c r="Y15"/>
      <c r="Z15"/>
      <c r="AA15"/>
    </row>
    <row r="16" spans="1:27" ht="16.2" thickBot="1" x14ac:dyDescent="0.35">
      <c r="A16" s="58">
        <v>2012</v>
      </c>
      <c r="B16" s="59">
        <v>375</v>
      </c>
      <c r="C16" s="59"/>
      <c r="D16" s="59">
        <v>1.26</v>
      </c>
      <c r="E16" s="59">
        <v>0.94</v>
      </c>
      <c r="F16" s="59">
        <v>1.1499999999999999</v>
      </c>
      <c r="G16" s="59">
        <v>3.35</v>
      </c>
      <c r="H16" s="68">
        <v>6700</v>
      </c>
      <c r="I16" s="59">
        <v>18</v>
      </c>
      <c r="J16"/>
      <c r="K16"/>
      <c r="L16"/>
      <c r="M16"/>
      <c r="N16"/>
      <c r="O16"/>
      <c r="P16"/>
      <c r="Q16"/>
      <c r="R16"/>
      <c r="S16"/>
      <c r="T16"/>
      <c r="U16"/>
      <c r="V16"/>
      <c r="W16"/>
      <c r="X16"/>
      <c r="Y16"/>
      <c r="Z16"/>
      <c r="AA16"/>
    </row>
    <row r="17" spans="1:27" ht="16.2" thickBot="1" x14ac:dyDescent="0.35">
      <c r="A17" s="58">
        <v>2011</v>
      </c>
      <c r="B17" s="59">
        <v>420</v>
      </c>
      <c r="C17" s="59"/>
      <c r="D17" s="59">
        <v>2.09</v>
      </c>
      <c r="E17" s="59">
        <v>0.72</v>
      </c>
      <c r="F17" s="59">
        <v>0.59</v>
      </c>
      <c r="G17" s="59">
        <v>3.4</v>
      </c>
      <c r="H17" s="68">
        <v>6800</v>
      </c>
      <c r="I17" s="59">
        <v>16</v>
      </c>
      <c r="J17"/>
      <c r="K17"/>
      <c r="L17"/>
      <c r="M17"/>
      <c r="N17"/>
      <c r="O17"/>
      <c r="P17"/>
      <c r="Q17"/>
      <c r="R17"/>
      <c r="S17"/>
      <c r="T17"/>
      <c r="U17"/>
      <c r="V17"/>
      <c r="W17"/>
      <c r="X17"/>
      <c r="Y17"/>
      <c r="Z17"/>
      <c r="AA17"/>
    </row>
    <row r="18" spans="1:27" ht="16.2" thickBot="1" x14ac:dyDescent="0.35">
      <c r="A18" s="58">
        <v>2010</v>
      </c>
      <c r="B18" s="59">
        <v>250</v>
      </c>
      <c r="C18" s="59"/>
      <c r="D18" s="59">
        <v>0.51</v>
      </c>
      <c r="E18" s="59">
        <v>0.24</v>
      </c>
      <c r="F18" s="59">
        <v>0.74</v>
      </c>
      <c r="G18" s="59">
        <v>1.49</v>
      </c>
      <c r="H18" s="68">
        <v>2980</v>
      </c>
      <c r="I18" s="59">
        <v>12</v>
      </c>
      <c r="J18"/>
      <c r="K18"/>
      <c r="L18"/>
      <c r="M18"/>
      <c r="N18"/>
      <c r="O18"/>
      <c r="P18"/>
      <c r="Q18"/>
      <c r="R18"/>
      <c r="S18"/>
      <c r="T18"/>
      <c r="U18"/>
      <c r="V18"/>
      <c r="W18"/>
      <c r="X18"/>
      <c r="Y18"/>
      <c r="Z18"/>
      <c r="AA18"/>
    </row>
    <row r="19" spans="1:27" ht="16.2" thickBot="1" x14ac:dyDescent="0.35">
      <c r="A19" s="69">
        <v>2009</v>
      </c>
      <c r="B19" s="60">
        <v>325</v>
      </c>
      <c r="C19" s="60"/>
      <c r="D19" s="60">
        <v>0.7</v>
      </c>
      <c r="E19" s="60">
        <v>1.0900000000000001</v>
      </c>
      <c r="F19" s="60">
        <v>0.69</v>
      </c>
      <c r="G19" s="60">
        <v>2.48</v>
      </c>
      <c r="H19" s="60">
        <v>4960</v>
      </c>
      <c r="I19" s="59">
        <v>15</v>
      </c>
      <c r="J19"/>
      <c r="K19"/>
      <c r="L19"/>
      <c r="M19"/>
      <c r="N19"/>
      <c r="O19"/>
      <c r="P19"/>
      <c r="Q19"/>
      <c r="R19"/>
      <c r="S19"/>
      <c r="T19"/>
      <c r="U19"/>
      <c r="V19"/>
      <c r="W19"/>
      <c r="X19"/>
      <c r="Y19"/>
      <c r="Z19"/>
      <c r="AA19"/>
    </row>
    <row r="20" spans="1:27" ht="16.2" thickBot="1" x14ac:dyDescent="0.35">
      <c r="A20" s="69">
        <v>2008</v>
      </c>
      <c r="B20" s="60">
        <v>319</v>
      </c>
      <c r="C20" s="60"/>
      <c r="D20" s="60">
        <v>1.0900000000000001</v>
      </c>
      <c r="E20" s="60">
        <v>1.28</v>
      </c>
      <c r="F20" s="60">
        <v>0.71</v>
      </c>
      <c r="G20" s="60">
        <v>3.08</v>
      </c>
      <c r="H20" s="60">
        <v>6160</v>
      </c>
      <c r="I20" s="59">
        <v>19</v>
      </c>
      <c r="J20"/>
      <c r="K20"/>
      <c r="L20"/>
      <c r="M20"/>
      <c r="N20"/>
      <c r="O20"/>
      <c r="P20"/>
      <c r="Q20"/>
      <c r="R20"/>
      <c r="S20"/>
      <c r="T20"/>
      <c r="U20"/>
      <c r="V20"/>
      <c r="W20"/>
      <c r="X20"/>
      <c r="Y20"/>
      <c r="Z20"/>
      <c r="AA20"/>
    </row>
    <row r="21" spans="1:27" ht="16.2" thickBot="1" x14ac:dyDescent="0.35">
      <c r="A21" s="70">
        <v>2007</v>
      </c>
      <c r="B21" s="71">
        <v>300</v>
      </c>
      <c r="C21" s="71"/>
      <c r="D21" s="71">
        <v>0.6</v>
      </c>
      <c r="E21" s="71">
        <v>1.24</v>
      </c>
      <c r="F21" s="71">
        <v>1.38</v>
      </c>
      <c r="G21" s="60">
        <v>3.22</v>
      </c>
      <c r="H21" s="68">
        <v>6440</v>
      </c>
      <c r="I21" s="59">
        <v>21</v>
      </c>
      <c r="J21"/>
      <c r="K21"/>
      <c r="L21"/>
      <c r="M21"/>
      <c r="N21"/>
      <c r="O21"/>
      <c r="P21"/>
      <c r="Q21"/>
      <c r="R21"/>
      <c r="S21"/>
      <c r="T21"/>
      <c r="U21"/>
      <c r="V21"/>
      <c r="W21"/>
      <c r="X21"/>
      <c r="Y21"/>
      <c r="Z21"/>
      <c r="AA21"/>
    </row>
    <row r="22" spans="1:27" ht="16.2" thickBot="1" x14ac:dyDescent="0.35">
      <c r="A22" s="72">
        <v>2006</v>
      </c>
      <c r="B22" s="73">
        <v>280</v>
      </c>
      <c r="C22" s="73"/>
      <c r="D22" s="73">
        <v>1.31</v>
      </c>
      <c r="E22" s="73">
        <v>0.98</v>
      </c>
      <c r="F22" s="73">
        <v>2</v>
      </c>
      <c r="G22" s="60">
        <v>4.29</v>
      </c>
      <c r="H22" s="59">
        <v>8580</v>
      </c>
      <c r="I22" s="59">
        <v>31</v>
      </c>
      <c r="J22"/>
      <c r="K22"/>
      <c r="L22"/>
      <c r="M22"/>
      <c r="N22"/>
      <c r="O22"/>
      <c r="P22"/>
      <c r="Q22"/>
      <c r="R22"/>
      <c r="S22"/>
      <c r="T22"/>
      <c r="U22"/>
      <c r="V22"/>
      <c r="W22"/>
      <c r="X22"/>
      <c r="Y22"/>
      <c r="Z22"/>
      <c r="AA22"/>
    </row>
    <row r="23" spans="1:27" ht="16.2" thickBot="1" x14ac:dyDescent="0.35">
      <c r="A23" s="74">
        <v>2005</v>
      </c>
      <c r="B23" s="56">
        <v>190</v>
      </c>
      <c r="C23" s="56"/>
      <c r="D23" s="56">
        <v>1.45</v>
      </c>
      <c r="E23" s="56" t="s">
        <v>15</v>
      </c>
      <c r="F23" s="56">
        <v>1.1200000000000001</v>
      </c>
      <c r="G23" s="60">
        <v>2.57</v>
      </c>
      <c r="H23" s="59">
        <v>5140</v>
      </c>
      <c r="I23" s="59">
        <v>27</v>
      </c>
      <c r="J23"/>
      <c r="K23"/>
      <c r="L23"/>
      <c r="M23"/>
      <c r="N23"/>
      <c r="O23"/>
      <c r="P23"/>
      <c r="Q23"/>
      <c r="R23"/>
      <c r="S23"/>
      <c r="T23"/>
      <c r="U23"/>
      <c r="V23"/>
      <c r="W23"/>
      <c r="X23"/>
      <c r="Y23"/>
      <c r="Z23"/>
      <c r="AA23"/>
    </row>
    <row r="24" spans="1:27" ht="16.2" thickBot="1" x14ac:dyDescent="0.35">
      <c r="A24" s="69">
        <v>2004</v>
      </c>
      <c r="B24" s="60">
        <v>136</v>
      </c>
      <c r="C24" s="60"/>
      <c r="D24" s="60">
        <v>1.38</v>
      </c>
      <c r="E24" s="60" t="s">
        <v>15</v>
      </c>
      <c r="F24" s="60">
        <v>1.1599999999999999</v>
      </c>
      <c r="G24" s="60">
        <v>2.54</v>
      </c>
      <c r="H24" s="59">
        <v>5080</v>
      </c>
      <c r="I24" s="59">
        <v>37</v>
      </c>
      <c r="K24"/>
      <c r="L24"/>
      <c r="M24"/>
      <c r="N24"/>
      <c r="O24"/>
      <c r="P24"/>
      <c r="Q24"/>
      <c r="R24"/>
      <c r="S24"/>
      <c r="T24"/>
      <c r="U24"/>
      <c r="V24"/>
      <c r="W24"/>
      <c r="X24"/>
      <c r="Y24"/>
      <c r="Z24"/>
      <c r="AA24"/>
    </row>
    <row r="25" spans="1:27" ht="16.2" thickBot="1" x14ac:dyDescent="0.35">
      <c r="A25" s="69">
        <v>2003</v>
      </c>
      <c r="B25" s="60">
        <v>40</v>
      </c>
      <c r="C25" s="60"/>
      <c r="D25" s="60" t="s">
        <v>15</v>
      </c>
      <c r="E25" s="60" t="s">
        <v>15</v>
      </c>
      <c r="F25" s="60" t="s">
        <v>15</v>
      </c>
      <c r="G25" s="60" t="s">
        <v>15</v>
      </c>
      <c r="H25" s="59"/>
      <c r="I25" s="59">
        <v>0</v>
      </c>
      <c r="K25"/>
      <c r="L25"/>
      <c r="M25"/>
      <c r="N25"/>
      <c r="O25"/>
      <c r="P25"/>
      <c r="Q25"/>
      <c r="R25"/>
      <c r="S25"/>
      <c r="T25"/>
      <c r="U25"/>
      <c r="V25"/>
      <c r="W25"/>
      <c r="X25"/>
      <c r="Y25"/>
      <c r="Z25"/>
      <c r="AA25"/>
    </row>
    <row r="26" spans="1:27" ht="14.4" x14ac:dyDescent="0.3">
      <c r="K26"/>
      <c r="L26"/>
      <c r="M26"/>
      <c r="N26"/>
      <c r="O26"/>
      <c r="P26"/>
      <c r="Q26"/>
      <c r="R26"/>
      <c r="S26"/>
      <c r="T26"/>
      <c r="U26"/>
      <c r="V26"/>
      <c r="W26"/>
      <c r="X26"/>
      <c r="Y26"/>
      <c r="Z26"/>
      <c r="AA26"/>
    </row>
    <row r="27" spans="1:27" ht="14.4" x14ac:dyDescent="0.3">
      <c r="C27"/>
      <c r="D27"/>
      <c r="E27"/>
      <c r="F27"/>
      <c r="G27"/>
      <c r="H27"/>
      <c r="I27"/>
      <c r="J27"/>
      <c r="K27"/>
      <c r="L27"/>
      <c r="M27"/>
      <c r="N27"/>
      <c r="O27"/>
      <c r="P27"/>
      <c r="Q27"/>
      <c r="R27"/>
      <c r="S27"/>
      <c r="T27"/>
      <c r="U27"/>
      <c r="V27"/>
      <c r="W27"/>
      <c r="X27"/>
      <c r="Y27"/>
      <c r="Z27"/>
      <c r="AA27"/>
    </row>
    <row r="28" spans="1:27" ht="14.4" x14ac:dyDescent="0.3">
      <c r="C28"/>
      <c r="D28"/>
      <c r="E28"/>
      <c r="F28"/>
      <c r="G28"/>
      <c r="H28"/>
      <c r="I28"/>
      <c r="J28"/>
      <c r="K28"/>
      <c r="L28"/>
      <c r="M28"/>
      <c r="N28"/>
      <c r="O28"/>
      <c r="P28"/>
      <c r="Q28"/>
      <c r="R28"/>
      <c r="S28"/>
      <c r="T28"/>
      <c r="U28"/>
      <c r="V28"/>
      <c r="W28"/>
      <c r="X28"/>
      <c r="Y28"/>
      <c r="Z28"/>
      <c r="AA28"/>
    </row>
    <row r="29" spans="1:27" ht="14.4" x14ac:dyDescent="0.3">
      <c r="C29"/>
      <c r="D29"/>
      <c r="E29"/>
      <c r="F29"/>
      <c r="G29"/>
      <c r="H29"/>
      <c r="I29"/>
      <c r="J29"/>
      <c r="K29"/>
      <c r="L29"/>
      <c r="M29"/>
      <c r="N29"/>
      <c r="O29"/>
      <c r="P29"/>
      <c r="Q29"/>
      <c r="R29"/>
      <c r="S29"/>
      <c r="T29"/>
      <c r="U29"/>
      <c r="V29"/>
      <c r="W29"/>
      <c r="X29"/>
      <c r="Y29"/>
      <c r="Z29"/>
      <c r="AA29"/>
    </row>
    <row r="30" spans="1:27" ht="14.4" x14ac:dyDescent="0.3">
      <c r="C30"/>
      <c r="D30"/>
      <c r="E30"/>
      <c r="F30"/>
      <c r="G30"/>
      <c r="H30"/>
      <c r="I30"/>
      <c r="J30"/>
      <c r="K30"/>
      <c r="L30"/>
      <c r="M30"/>
      <c r="N30"/>
      <c r="O30"/>
      <c r="P30"/>
      <c r="Q30"/>
      <c r="R30"/>
      <c r="S30"/>
      <c r="T30"/>
      <c r="U30"/>
      <c r="V30"/>
      <c r="W30"/>
      <c r="X30"/>
      <c r="Y30"/>
      <c r="Z30"/>
      <c r="AA30"/>
    </row>
    <row r="31" spans="1:27" ht="14.4" x14ac:dyDescent="0.3">
      <c r="C31"/>
      <c r="D31"/>
      <c r="E31"/>
      <c r="F31"/>
      <c r="G31"/>
      <c r="H31"/>
      <c r="I31"/>
      <c r="J31"/>
      <c r="K31"/>
      <c r="L31"/>
      <c r="M31"/>
      <c r="N31"/>
      <c r="O31"/>
      <c r="P31"/>
      <c r="Q31"/>
      <c r="R31"/>
      <c r="S31"/>
      <c r="T31"/>
      <c r="U31"/>
      <c r="V31"/>
      <c r="W31"/>
      <c r="X31"/>
      <c r="Y31"/>
      <c r="Z31"/>
      <c r="AA31"/>
    </row>
    <row r="32" spans="1:27" ht="14.4" x14ac:dyDescent="0.3">
      <c r="C32"/>
      <c r="D32"/>
      <c r="E32"/>
      <c r="F32"/>
      <c r="G32"/>
      <c r="H32"/>
      <c r="I32"/>
      <c r="J32"/>
      <c r="K32"/>
      <c r="L32"/>
      <c r="M32"/>
      <c r="N32"/>
      <c r="O32"/>
      <c r="P32"/>
      <c r="Q32"/>
      <c r="R32"/>
      <c r="S32"/>
      <c r="T32"/>
      <c r="U32"/>
      <c r="V32"/>
      <c r="W32"/>
      <c r="X32"/>
      <c r="Y32"/>
      <c r="Z32"/>
      <c r="AA32"/>
    </row>
    <row r="33" spans="3:29" ht="14.4" x14ac:dyDescent="0.3">
      <c r="C33"/>
      <c r="D33"/>
      <c r="E33"/>
      <c r="F33"/>
      <c r="G33"/>
      <c r="H33"/>
      <c r="I33"/>
      <c r="J33"/>
      <c r="K33"/>
      <c r="L33"/>
      <c r="M33"/>
      <c r="N33"/>
      <c r="O33"/>
      <c r="P33"/>
      <c r="Q33"/>
      <c r="R33"/>
      <c r="S33"/>
      <c r="T33"/>
      <c r="U33"/>
      <c r="V33"/>
      <c r="W33"/>
      <c r="X33"/>
      <c r="Y33"/>
      <c r="Z33"/>
      <c r="AA33"/>
    </row>
    <row r="34" spans="3:29" ht="14.4" x14ac:dyDescent="0.3">
      <c r="C34"/>
      <c r="D34"/>
      <c r="E34"/>
      <c r="F34"/>
      <c r="G34"/>
      <c r="H34"/>
      <c r="I34"/>
      <c r="J34"/>
      <c r="K34"/>
      <c r="L34"/>
      <c r="M34"/>
      <c r="N34"/>
      <c r="O34"/>
      <c r="P34"/>
      <c r="Q34"/>
      <c r="R34"/>
      <c r="S34"/>
      <c r="T34"/>
      <c r="U34"/>
      <c r="V34"/>
      <c r="W34"/>
      <c r="X34"/>
      <c r="Y34"/>
      <c r="Z34"/>
      <c r="AA34"/>
      <c r="AB34"/>
      <c r="AC34"/>
    </row>
    <row r="35" spans="3:29" ht="14.4" x14ac:dyDescent="0.3">
      <c r="C35"/>
      <c r="D35"/>
      <c r="E35"/>
      <c r="F35"/>
      <c r="G35"/>
      <c r="H35"/>
      <c r="I35"/>
      <c r="J35"/>
      <c r="K35"/>
      <c r="L35"/>
      <c r="M35"/>
      <c r="N35"/>
      <c r="O35"/>
      <c r="P35"/>
      <c r="Q35"/>
      <c r="R35"/>
      <c r="T35"/>
      <c r="U35"/>
      <c r="V35"/>
      <c r="W35"/>
      <c r="X35"/>
      <c r="Y35"/>
      <c r="Z35"/>
      <c r="AA35"/>
      <c r="AB35"/>
      <c r="AC35"/>
    </row>
    <row r="36" spans="3:29" ht="14.4" x14ac:dyDescent="0.3">
      <c r="C36"/>
      <c r="D36"/>
      <c r="E36"/>
      <c r="F36"/>
      <c r="G36"/>
      <c r="H36"/>
      <c r="I36"/>
      <c r="J36"/>
      <c r="K36"/>
      <c r="L36"/>
      <c r="M36"/>
      <c r="N36"/>
      <c r="O36"/>
      <c r="P36"/>
      <c r="Q36"/>
      <c r="R36"/>
      <c r="S36"/>
      <c r="T36"/>
      <c r="U36"/>
      <c r="V36"/>
      <c r="W36"/>
      <c r="X36"/>
      <c r="Y36"/>
      <c r="Z36"/>
      <c r="AA36"/>
      <c r="AB36"/>
      <c r="AC36"/>
    </row>
    <row r="37" spans="3:29" ht="14.4" x14ac:dyDescent="0.3">
      <c r="C37"/>
      <c r="D37"/>
      <c r="E37"/>
      <c r="F37"/>
      <c r="G37"/>
      <c r="H37"/>
      <c r="I37"/>
      <c r="J37"/>
      <c r="K37"/>
      <c r="L37"/>
      <c r="M37"/>
      <c r="N37"/>
      <c r="O37"/>
      <c r="P37"/>
      <c r="Q37"/>
      <c r="R37"/>
      <c r="S37"/>
      <c r="T37"/>
      <c r="U37"/>
      <c r="V37"/>
      <c r="W37"/>
      <c r="X37"/>
      <c r="Y37"/>
      <c r="Z37"/>
      <c r="AA37"/>
      <c r="AB37"/>
      <c r="AC37"/>
    </row>
    <row r="38" spans="3:29" ht="14.4" x14ac:dyDescent="0.3">
      <c r="C38"/>
      <c r="D38"/>
      <c r="E38"/>
      <c r="F38"/>
      <c r="G38"/>
      <c r="H38"/>
      <c r="I38"/>
      <c r="J38"/>
      <c r="K38"/>
      <c r="L38"/>
      <c r="M38"/>
      <c r="N38"/>
      <c r="O38"/>
      <c r="P38"/>
      <c r="Q38"/>
      <c r="R38"/>
      <c r="S38"/>
      <c r="T38"/>
      <c r="U38"/>
      <c r="V38"/>
      <c r="W38"/>
      <c r="X38"/>
      <c r="Y38"/>
      <c r="Z38"/>
      <c r="AA38"/>
      <c r="AB38"/>
      <c r="AC38"/>
    </row>
    <row r="39" spans="3:29" ht="14.4" x14ac:dyDescent="0.3">
      <c r="C39"/>
      <c r="D39"/>
      <c r="E39"/>
      <c r="F39"/>
      <c r="G39"/>
      <c r="H39"/>
      <c r="I39"/>
      <c r="J39"/>
      <c r="K39"/>
      <c r="L39"/>
      <c r="M39"/>
      <c r="N39"/>
      <c r="O39"/>
      <c r="P39"/>
      <c r="Q39"/>
      <c r="R39"/>
      <c r="S39"/>
      <c r="T39"/>
      <c r="U39"/>
      <c r="V39"/>
      <c r="W39"/>
      <c r="X39"/>
      <c r="Y39"/>
      <c r="Z39"/>
      <c r="AA39"/>
      <c r="AB39"/>
      <c r="AC39"/>
    </row>
    <row r="40" spans="3:29" ht="14.4" x14ac:dyDescent="0.3">
      <c r="C40"/>
      <c r="D40"/>
      <c r="E40"/>
      <c r="F40"/>
      <c r="G40"/>
      <c r="H40"/>
      <c r="I40"/>
      <c r="J40"/>
      <c r="K40"/>
      <c r="L40"/>
      <c r="M40"/>
      <c r="N40"/>
      <c r="O40"/>
      <c r="P40"/>
      <c r="Q40"/>
      <c r="R40"/>
      <c r="S40"/>
      <c r="T40"/>
      <c r="U40"/>
      <c r="V40"/>
      <c r="W40"/>
      <c r="X40"/>
      <c r="Y40"/>
      <c r="Z40"/>
      <c r="AA40"/>
      <c r="AB40"/>
      <c r="AC40"/>
    </row>
    <row r="41" spans="3:29" ht="14.4" x14ac:dyDescent="0.3">
      <c r="C41"/>
      <c r="D41"/>
      <c r="E41"/>
      <c r="F41"/>
      <c r="G41"/>
      <c r="H41"/>
      <c r="I41"/>
      <c r="J41"/>
      <c r="K41"/>
      <c r="L41"/>
      <c r="M41"/>
      <c r="N41"/>
      <c r="O41"/>
      <c r="P41"/>
      <c r="Q41"/>
      <c r="R41"/>
      <c r="S41"/>
      <c r="T41"/>
      <c r="U41"/>
      <c r="V41"/>
      <c r="W41"/>
      <c r="X41"/>
      <c r="Y41"/>
      <c r="Z41"/>
      <c r="AA41"/>
      <c r="AB41"/>
      <c r="AC41"/>
    </row>
    <row r="42" spans="3:29" ht="14.4" x14ac:dyDescent="0.3">
      <c r="C42"/>
      <c r="D42"/>
      <c r="E42"/>
      <c r="F42"/>
      <c r="G42"/>
      <c r="H42"/>
      <c r="I42"/>
      <c r="J42"/>
      <c r="K42"/>
      <c r="L42"/>
      <c r="M42"/>
      <c r="N42"/>
      <c r="O42"/>
      <c r="P42"/>
      <c r="Q42"/>
      <c r="R42"/>
      <c r="S42"/>
      <c r="T42"/>
      <c r="U42"/>
      <c r="V42"/>
      <c r="W42"/>
      <c r="X42"/>
      <c r="Y42"/>
      <c r="Z42"/>
      <c r="AA42"/>
      <c r="AB42"/>
      <c r="AC42"/>
    </row>
    <row r="43" spans="3:29" ht="14.4" x14ac:dyDescent="0.3">
      <c r="J43"/>
      <c r="K43"/>
      <c r="L43"/>
      <c r="M43"/>
      <c r="N43"/>
      <c r="O43"/>
      <c r="P43"/>
      <c r="Q43"/>
      <c r="R43"/>
      <c r="S43"/>
      <c r="T43"/>
      <c r="U43"/>
      <c r="V43"/>
      <c r="W43"/>
      <c r="X43"/>
      <c r="Y43"/>
      <c r="Z43"/>
      <c r="AA43"/>
      <c r="AB43"/>
      <c r="AC43"/>
    </row>
    <row r="44" spans="3:29" ht="14.4" x14ac:dyDescent="0.3">
      <c r="J44"/>
      <c r="K44"/>
      <c r="L44"/>
      <c r="M44"/>
      <c r="N44"/>
      <c r="O44"/>
      <c r="P44"/>
      <c r="Q44"/>
      <c r="R44"/>
      <c r="S44"/>
      <c r="T44"/>
      <c r="U44"/>
      <c r="V44"/>
      <c r="W44"/>
      <c r="X44"/>
      <c r="Y44"/>
      <c r="Z44"/>
      <c r="AA44"/>
      <c r="AB44"/>
      <c r="AC44"/>
    </row>
    <row r="45" spans="3:29" ht="14.4" x14ac:dyDescent="0.3">
      <c r="J45"/>
      <c r="K45"/>
      <c r="L45"/>
      <c r="M45"/>
      <c r="N45"/>
      <c r="O45"/>
      <c r="P45"/>
      <c r="Q45"/>
      <c r="R45"/>
      <c r="S45"/>
      <c r="T45"/>
      <c r="U45"/>
      <c r="V45"/>
      <c r="W45"/>
      <c r="X45"/>
      <c r="Y45"/>
      <c r="Z45"/>
      <c r="AA45"/>
      <c r="AB45"/>
      <c r="AC45"/>
    </row>
    <row r="46" spans="3:29" ht="14.4" x14ac:dyDescent="0.3">
      <c r="J46"/>
      <c r="K46"/>
      <c r="L46"/>
      <c r="M46"/>
      <c r="N46"/>
      <c r="O46"/>
      <c r="P46"/>
      <c r="Q46"/>
      <c r="R46"/>
      <c r="S46"/>
      <c r="T46"/>
      <c r="U46"/>
      <c r="V46"/>
      <c r="W46"/>
      <c r="X46"/>
      <c r="Y46"/>
      <c r="Z46"/>
      <c r="AA46"/>
      <c r="AB46"/>
      <c r="AC46"/>
    </row>
    <row r="47" spans="3:29" ht="14.4" x14ac:dyDescent="0.3">
      <c r="J47"/>
      <c r="K47"/>
      <c r="L47"/>
      <c r="M47"/>
      <c r="N47"/>
      <c r="O47"/>
      <c r="P47"/>
      <c r="Q47"/>
      <c r="R47"/>
      <c r="S47"/>
      <c r="T47"/>
      <c r="U47"/>
      <c r="V47"/>
      <c r="W47"/>
      <c r="X47"/>
      <c r="Y47"/>
      <c r="Z47"/>
      <c r="AA47"/>
      <c r="AB47"/>
      <c r="AC47"/>
    </row>
    <row r="48" spans="3:29" ht="14.4" x14ac:dyDescent="0.3">
      <c r="J48"/>
      <c r="K48"/>
      <c r="L48"/>
      <c r="M48"/>
      <c r="N48"/>
      <c r="O48"/>
      <c r="P48"/>
      <c r="Q48"/>
      <c r="R48"/>
      <c r="S48"/>
      <c r="T48"/>
      <c r="U48"/>
      <c r="V48"/>
      <c r="W48"/>
      <c r="X48"/>
      <c r="Y48"/>
      <c r="Z48"/>
      <c r="AA48"/>
      <c r="AB48"/>
      <c r="AC48"/>
    </row>
    <row r="49" spans="5:29" ht="14.4" x14ac:dyDescent="0.3">
      <c r="J49"/>
      <c r="K49"/>
      <c r="L49"/>
      <c r="M49"/>
      <c r="N49"/>
      <c r="O49"/>
      <c r="P49"/>
      <c r="Q49"/>
      <c r="R49"/>
      <c r="S49"/>
      <c r="T49"/>
      <c r="U49"/>
      <c r="V49"/>
      <c r="W49"/>
      <c r="X49"/>
      <c r="Y49"/>
      <c r="Z49"/>
      <c r="AA49"/>
      <c r="AB49"/>
      <c r="AC49"/>
    </row>
    <row r="50" spans="5:29" ht="14.4" x14ac:dyDescent="0.3">
      <c r="J50"/>
      <c r="K50"/>
      <c r="L50"/>
      <c r="M50"/>
      <c r="N50"/>
      <c r="O50"/>
      <c r="P50"/>
      <c r="Q50"/>
      <c r="R50"/>
      <c r="S50"/>
      <c r="T50"/>
      <c r="U50"/>
      <c r="V50"/>
      <c r="W50"/>
      <c r="X50"/>
      <c r="Y50"/>
      <c r="Z50"/>
      <c r="AA50"/>
      <c r="AB50"/>
      <c r="AC50"/>
    </row>
    <row r="51" spans="5:29" ht="14.4" x14ac:dyDescent="0.3">
      <c r="S51"/>
      <c r="T51"/>
      <c r="U51"/>
      <c r="V51"/>
      <c r="W51"/>
      <c r="X51"/>
      <c r="Y51"/>
      <c r="Z51"/>
      <c r="AA51"/>
    </row>
    <row r="52" spans="5:29" ht="14.4" x14ac:dyDescent="0.3">
      <c r="S52"/>
      <c r="T52"/>
      <c r="U52"/>
      <c r="V52"/>
      <c r="W52"/>
      <c r="X52"/>
      <c r="Y52"/>
      <c r="Z52"/>
      <c r="AA52"/>
    </row>
    <row r="53" spans="5:29" ht="14.4" x14ac:dyDescent="0.3">
      <c r="S53"/>
      <c r="T53"/>
      <c r="U53"/>
      <c r="V53"/>
      <c r="W53"/>
      <c r="X53"/>
      <c r="Y53"/>
      <c r="Z53"/>
      <c r="AA53"/>
    </row>
    <row r="54" spans="5:29" ht="14.4" x14ac:dyDescent="0.3">
      <c r="E54"/>
      <c r="F54"/>
      <c r="G54"/>
      <c r="H54"/>
      <c r="I54"/>
      <c r="J54"/>
      <c r="K54"/>
      <c r="L54"/>
      <c r="M54"/>
      <c r="N54"/>
      <c r="O54"/>
      <c r="P54"/>
      <c r="Q54"/>
      <c r="R54"/>
      <c r="S54"/>
      <c r="T54"/>
      <c r="U54"/>
      <c r="V54"/>
      <c r="W54"/>
      <c r="X54"/>
      <c r="Y54"/>
      <c r="Z54"/>
      <c r="AA54"/>
    </row>
    <row r="55" spans="5:29" ht="14.4" x14ac:dyDescent="0.3">
      <c r="E55"/>
      <c r="F55"/>
      <c r="G55"/>
      <c r="H55"/>
      <c r="I55"/>
      <c r="J55"/>
      <c r="K55"/>
      <c r="L55"/>
      <c r="M55"/>
      <c r="N55"/>
      <c r="O55"/>
      <c r="P55"/>
      <c r="Q55"/>
      <c r="R55"/>
      <c r="S55"/>
      <c r="T55"/>
      <c r="U55"/>
      <c r="V55"/>
      <c r="W55"/>
      <c r="X55"/>
      <c r="Y55"/>
      <c r="Z55"/>
      <c r="AA55"/>
    </row>
    <row r="56" spans="5:29" ht="14.4" x14ac:dyDescent="0.3">
      <c r="E56"/>
      <c r="F56"/>
      <c r="G56"/>
      <c r="H56"/>
      <c r="I56"/>
      <c r="J56"/>
      <c r="K56"/>
      <c r="L56"/>
      <c r="M56"/>
      <c r="N56"/>
      <c r="O56"/>
      <c r="P56"/>
      <c r="Q56"/>
      <c r="R56"/>
      <c r="S56"/>
      <c r="T56"/>
      <c r="U56"/>
      <c r="V56"/>
      <c r="W56"/>
      <c r="X56"/>
      <c r="Y56"/>
      <c r="Z56"/>
      <c r="AA56"/>
    </row>
    <row r="57" spans="5:29" ht="14.4" x14ac:dyDescent="0.3">
      <c r="E57"/>
      <c r="F57"/>
      <c r="G57"/>
      <c r="H57"/>
      <c r="I57"/>
      <c r="J57"/>
      <c r="K57"/>
      <c r="L57"/>
      <c r="M57"/>
      <c r="N57"/>
      <c r="O57"/>
      <c r="P57"/>
      <c r="Q57"/>
      <c r="R57"/>
      <c r="S57"/>
      <c r="T57"/>
      <c r="U57"/>
      <c r="V57"/>
      <c r="W57"/>
      <c r="X57"/>
      <c r="Y57"/>
      <c r="Z57"/>
      <c r="AA57"/>
    </row>
    <row r="58" spans="5:29" ht="14.4" x14ac:dyDescent="0.3">
      <c r="E58"/>
      <c r="F58"/>
      <c r="G58"/>
      <c r="H58"/>
      <c r="I58"/>
      <c r="J58"/>
      <c r="K58"/>
      <c r="L58"/>
      <c r="M58"/>
      <c r="N58"/>
      <c r="O58"/>
      <c r="P58"/>
      <c r="Q58"/>
      <c r="R58"/>
      <c r="S58"/>
      <c r="T58"/>
      <c r="U58"/>
      <c r="V58"/>
      <c r="W58"/>
      <c r="X58"/>
      <c r="Y58"/>
      <c r="Z58"/>
      <c r="AA58"/>
    </row>
    <row r="59" spans="5:29" ht="14.4" x14ac:dyDescent="0.3">
      <c r="E59"/>
      <c r="F59"/>
      <c r="G59"/>
      <c r="H59"/>
      <c r="I59"/>
      <c r="J59"/>
      <c r="K59"/>
      <c r="L59"/>
      <c r="M59"/>
      <c r="N59"/>
      <c r="O59"/>
      <c r="P59"/>
      <c r="Q59"/>
      <c r="R59"/>
      <c r="S59"/>
      <c r="T59"/>
      <c r="U59"/>
      <c r="V59"/>
      <c r="W59"/>
      <c r="X59"/>
      <c r="Y59"/>
      <c r="Z59"/>
      <c r="AA59"/>
    </row>
    <row r="60" spans="5:29" ht="14.4" x14ac:dyDescent="0.3">
      <c r="E60"/>
      <c r="F60"/>
      <c r="G60"/>
      <c r="H60"/>
      <c r="I60"/>
      <c r="J60"/>
      <c r="K60"/>
      <c r="L60"/>
      <c r="M60"/>
      <c r="N60"/>
      <c r="O60"/>
      <c r="P60"/>
      <c r="Q60"/>
      <c r="R60"/>
      <c r="S60"/>
      <c r="T60"/>
      <c r="U60"/>
      <c r="V60"/>
      <c r="W60"/>
      <c r="X60"/>
      <c r="Y60"/>
      <c r="Z60"/>
      <c r="AA60"/>
    </row>
    <row r="61" spans="5:29" ht="14.4" x14ac:dyDescent="0.3">
      <c r="E61"/>
      <c r="F61"/>
      <c r="G61"/>
      <c r="H61"/>
      <c r="I61"/>
      <c r="J61"/>
      <c r="K61"/>
      <c r="L61"/>
      <c r="M61"/>
      <c r="N61"/>
      <c r="O61"/>
      <c r="P61"/>
      <c r="Q61"/>
      <c r="R61"/>
      <c r="S61"/>
      <c r="T61"/>
      <c r="U61"/>
      <c r="V61"/>
      <c r="W61"/>
      <c r="X61"/>
      <c r="Y61"/>
      <c r="Z61"/>
      <c r="AA61"/>
    </row>
    <row r="62" spans="5:29" ht="14.4" x14ac:dyDescent="0.3">
      <c r="E62"/>
      <c r="F62"/>
      <c r="G62"/>
      <c r="H62"/>
      <c r="I62"/>
      <c r="J62"/>
      <c r="K62"/>
      <c r="L62"/>
      <c r="M62"/>
      <c r="N62"/>
      <c r="O62"/>
      <c r="P62"/>
      <c r="Q62"/>
      <c r="R62"/>
      <c r="S62"/>
      <c r="T62"/>
      <c r="U62"/>
      <c r="V62"/>
      <c r="W62"/>
      <c r="X62"/>
      <c r="Y62"/>
      <c r="Z62"/>
      <c r="AA62"/>
    </row>
    <row r="63" spans="5:29" ht="14.4" x14ac:dyDescent="0.3">
      <c r="E63"/>
      <c r="F63"/>
      <c r="G63"/>
      <c r="H63"/>
      <c r="I63"/>
      <c r="J63"/>
      <c r="K63"/>
      <c r="L63"/>
      <c r="M63"/>
      <c r="N63"/>
      <c r="O63"/>
      <c r="P63"/>
      <c r="Q63"/>
      <c r="R63"/>
      <c r="S63"/>
      <c r="T63"/>
      <c r="U63"/>
      <c r="V63"/>
      <c r="W63"/>
      <c r="X63"/>
      <c r="Y63"/>
      <c r="Z63"/>
      <c r="AA63"/>
    </row>
    <row r="64" spans="5:29" ht="14.4" x14ac:dyDescent="0.3">
      <c r="E64"/>
      <c r="F64"/>
      <c r="G64"/>
      <c r="H64"/>
      <c r="I64"/>
      <c r="J64"/>
      <c r="K64"/>
      <c r="L64"/>
      <c r="M64"/>
      <c r="N64"/>
      <c r="O64"/>
      <c r="P64"/>
      <c r="Q64"/>
      <c r="R64"/>
      <c r="S64"/>
      <c r="T64"/>
      <c r="U64"/>
      <c r="V64"/>
      <c r="W64"/>
      <c r="X64"/>
      <c r="Y64"/>
      <c r="Z64"/>
      <c r="AA64"/>
    </row>
    <row r="65" spans="5:21" ht="14.4" x14ac:dyDescent="0.3">
      <c r="E65"/>
      <c r="F65"/>
      <c r="G65"/>
      <c r="H65"/>
      <c r="I65"/>
      <c r="J65"/>
      <c r="K65"/>
      <c r="L65"/>
      <c r="M65"/>
      <c r="N65"/>
      <c r="O65"/>
      <c r="P65"/>
      <c r="Q65"/>
      <c r="R65"/>
      <c r="S65"/>
      <c r="T65"/>
      <c r="U65"/>
    </row>
    <row r="66" spans="5:21" ht="14.4" x14ac:dyDescent="0.3">
      <c r="E66"/>
      <c r="F66"/>
      <c r="G66"/>
      <c r="H66"/>
      <c r="I66"/>
      <c r="J66"/>
      <c r="K66"/>
      <c r="L66"/>
      <c r="M66"/>
      <c r="N66"/>
      <c r="O66"/>
      <c r="P66"/>
      <c r="Q66"/>
      <c r="R66"/>
      <c r="S66"/>
      <c r="T66"/>
      <c r="U66"/>
    </row>
    <row r="67" spans="5:21" ht="14.4" x14ac:dyDescent="0.3">
      <c r="E67"/>
      <c r="F67"/>
      <c r="G67"/>
      <c r="H67"/>
      <c r="I67"/>
      <c r="J67"/>
      <c r="K67"/>
      <c r="L67"/>
      <c r="M67"/>
      <c r="N67"/>
      <c r="O67"/>
      <c r="P67"/>
      <c r="Q67"/>
      <c r="R67"/>
      <c r="S67"/>
      <c r="T67"/>
      <c r="U67"/>
    </row>
    <row r="68" spans="5:21" ht="14.4" x14ac:dyDescent="0.3">
      <c r="E68"/>
      <c r="F68"/>
      <c r="G68"/>
      <c r="H68"/>
      <c r="I68"/>
      <c r="J68"/>
      <c r="K68"/>
      <c r="L68"/>
      <c r="M68"/>
      <c r="N68"/>
      <c r="O68"/>
      <c r="P68"/>
      <c r="Q68"/>
      <c r="R68"/>
      <c r="S68"/>
      <c r="T68"/>
      <c r="U68"/>
    </row>
    <row r="69" spans="5:21" ht="14.4" x14ac:dyDescent="0.3">
      <c r="E69"/>
      <c r="F69"/>
      <c r="G69"/>
      <c r="H69"/>
      <c r="I69"/>
      <c r="J69"/>
      <c r="K69"/>
      <c r="L69"/>
      <c r="M69"/>
    </row>
  </sheetData>
  <pageMargins left="0.75" right="0.75" top="1" bottom="1" header="0.5" footer="0.5"/>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43"/>
  <sheetViews>
    <sheetView topLeftCell="D1" workbookViewId="0">
      <selection activeCell="T6" sqref="T6"/>
    </sheetView>
  </sheetViews>
  <sheetFormatPr defaultRowHeight="14.4" x14ac:dyDescent="0.3"/>
  <cols>
    <col min="1" max="1" width="11" customWidth="1"/>
    <col min="2" max="2" width="36" bestFit="1" customWidth="1"/>
    <col min="9" max="9" width="20.6640625" bestFit="1" customWidth="1"/>
    <col min="15" max="15" width="36.109375" bestFit="1" customWidth="1"/>
    <col min="17" max="17" width="10.44140625" customWidth="1"/>
    <col min="18" max="18" width="10.88671875" bestFit="1" customWidth="1"/>
    <col min="19" max="19" width="9.5546875" bestFit="1" customWidth="1"/>
    <col min="20" max="20" width="9.6640625" bestFit="1" customWidth="1"/>
  </cols>
  <sheetData>
    <row r="1" spans="1:20" x14ac:dyDescent="0.3">
      <c r="A1" t="s">
        <v>79</v>
      </c>
      <c r="J1" s="11" t="s">
        <v>75</v>
      </c>
      <c r="K1" s="11" t="s">
        <v>76</v>
      </c>
      <c r="L1" s="11" t="s">
        <v>77</v>
      </c>
      <c r="M1" s="11" t="s">
        <v>88</v>
      </c>
      <c r="N1" s="11" t="s">
        <v>87</v>
      </c>
    </row>
    <row r="2" spans="1:20" x14ac:dyDescent="0.3">
      <c r="A2" s="11" t="s">
        <v>62</v>
      </c>
      <c r="C2" s="11" t="s">
        <v>23</v>
      </c>
      <c r="I2" s="41" t="s">
        <v>62</v>
      </c>
      <c r="J2" s="42">
        <f>A3</f>
        <v>360</v>
      </c>
      <c r="K2" s="42">
        <f>A4</f>
        <v>700</v>
      </c>
      <c r="L2" s="42">
        <f>A5</f>
        <v>1260</v>
      </c>
      <c r="M2" s="42">
        <f>A6</f>
        <v>200</v>
      </c>
      <c r="N2" s="42">
        <f>SUM(J2:M2)</f>
        <v>2520</v>
      </c>
      <c r="O2" s="42">
        <f>D5</f>
        <v>0</v>
      </c>
      <c r="R2" t="s">
        <v>89</v>
      </c>
      <c r="S2" t="s">
        <v>90</v>
      </c>
    </row>
    <row r="3" spans="1:20" x14ac:dyDescent="0.3">
      <c r="A3" s="2">
        <v>360</v>
      </c>
      <c r="B3" t="s">
        <v>42</v>
      </c>
      <c r="C3" s="40">
        <f>A3/2000</f>
        <v>0.18</v>
      </c>
      <c r="I3" s="38" t="s">
        <v>6</v>
      </c>
      <c r="J3">
        <v>7</v>
      </c>
      <c r="K3">
        <v>1</v>
      </c>
      <c r="M3" s="2"/>
      <c r="N3">
        <f>SUM(J3:M3)</f>
        <v>8</v>
      </c>
      <c r="Q3" s="47">
        <v>42997</v>
      </c>
      <c r="S3" s="2">
        <v>3000</v>
      </c>
    </row>
    <row r="4" spans="1:20" x14ac:dyDescent="0.3">
      <c r="A4" s="2">
        <v>700</v>
      </c>
      <c r="B4" t="s">
        <v>2</v>
      </c>
      <c r="C4" s="40">
        <f t="shared" ref="C4:C6" si="0">A4/2000</f>
        <v>0.35</v>
      </c>
      <c r="I4" s="38" t="s">
        <v>28</v>
      </c>
      <c r="J4">
        <v>13</v>
      </c>
      <c r="M4" s="2"/>
      <c r="N4">
        <f t="shared" ref="N4:N11" si="1">SUM(J4:M4)</f>
        <v>13</v>
      </c>
      <c r="Q4" s="47">
        <v>43355</v>
      </c>
      <c r="S4">
        <v>200</v>
      </c>
      <c r="T4" s="33">
        <f>SUM(S3,S4,R4)</f>
        <v>3200</v>
      </c>
    </row>
    <row r="5" spans="1:20" x14ac:dyDescent="0.3">
      <c r="A5" s="2">
        <v>1260</v>
      </c>
      <c r="B5" t="s">
        <v>86</v>
      </c>
      <c r="C5" s="40">
        <f t="shared" si="0"/>
        <v>0.63</v>
      </c>
      <c r="I5" s="38" t="s">
        <v>25</v>
      </c>
      <c r="J5">
        <v>56</v>
      </c>
      <c r="K5">
        <v>174</v>
      </c>
      <c r="M5" s="2">
        <v>2</v>
      </c>
      <c r="N5">
        <f t="shared" si="1"/>
        <v>232</v>
      </c>
      <c r="O5" s="37"/>
      <c r="Q5" s="47">
        <v>43696</v>
      </c>
      <c r="R5">
        <v>400</v>
      </c>
    </row>
    <row r="6" spans="1:20" x14ac:dyDescent="0.3">
      <c r="A6" s="2">
        <v>200</v>
      </c>
      <c r="B6" s="24" t="s">
        <v>4</v>
      </c>
      <c r="C6" s="40">
        <f t="shared" si="0"/>
        <v>0.1</v>
      </c>
      <c r="I6" s="38" t="s">
        <v>27</v>
      </c>
      <c r="J6">
        <v>6</v>
      </c>
      <c r="M6" s="2">
        <v>2</v>
      </c>
      <c r="N6">
        <f t="shared" si="1"/>
        <v>8</v>
      </c>
      <c r="Q6" s="47">
        <v>44069</v>
      </c>
      <c r="S6">
        <v>800</v>
      </c>
      <c r="T6" t="s">
        <v>91</v>
      </c>
    </row>
    <row r="7" spans="1:20" x14ac:dyDescent="0.3">
      <c r="I7" s="38" t="s">
        <v>81</v>
      </c>
      <c r="M7" s="2"/>
      <c r="N7">
        <f t="shared" si="1"/>
        <v>0</v>
      </c>
    </row>
    <row r="8" spans="1:20" x14ac:dyDescent="0.3">
      <c r="A8" s="2">
        <f>SUM(A3:A6)</f>
        <v>2520</v>
      </c>
      <c r="B8" s="1" t="s">
        <v>67</v>
      </c>
      <c r="C8">
        <f>SUM(C3:C6)</f>
        <v>1.2600000000000002</v>
      </c>
      <c r="I8" s="38" t="s">
        <v>63</v>
      </c>
      <c r="J8">
        <v>24</v>
      </c>
      <c r="K8">
        <v>38</v>
      </c>
      <c r="N8">
        <f t="shared" si="1"/>
        <v>62</v>
      </c>
      <c r="O8" s="37"/>
    </row>
    <row r="9" spans="1:20" x14ac:dyDescent="0.3">
      <c r="A9" s="2"/>
      <c r="B9" s="1"/>
      <c r="I9" s="38" t="s">
        <v>53</v>
      </c>
      <c r="N9">
        <f t="shared" si="1"/>
        <v>0</v>
      </c>
    </row>
    <row r="10" spans="1:20" x14ac:dyDescent="0.3">
      <c r="A10" s="2">
        <f>A8</f>
        <v>2520</v>
      </c>
      <c r="B10" s="34" t="s">
        <v>66</v>
      </c>
      <c r="C10">
        <f>ROUND(A10/2000,2)</f>
        <v>1.26</v>
      </c>
      <c r="I10" s="43" t="s">
        <v>12</v>
      </c>
      <c r="J10" s="44">
        <f>SUM(J3:J9)</f>
        <v>106</v>
      </c>
      <c r="K10" s="44">
        <f t="shared" ref="K10:M10" si="2">SUM(K3:K9)</f>
        <v>213</v>
      </c>
      <c r="L10" s="44"/>
      <c r="M10" s="44">
        <f t="shared" si="2"/>
        <v>4</v>
      </c>
      <c r="N10" s="44">
        <f t="shared" si="1"/>
        <v>323</v>
      </c>
    </row>
    <row r="11" spans="1:20" x14ac:dyDescent="0.3">
      <c r="A11" s="2">
        <f>N3</f>
        <v>8</v>
      </c>
      <c r="B11" s="1" t="s">
        <v>6</v>
      </c>
      <c r="I11" s="38" t="s">
        <v>54</v>
      </c>
      <c r="J11" s="33">
        <f>J2-SUM(J3:J8)</f>
        <v>254</v>
      </c>
      <c r="K11" s="33">
        <f>K2-SUM(K3:K8)</f>
        <v>487</v>
      </c>
      <c r="L11" s="33">
        <f>L2-SUM(L3:L8)</f>
        <v>1260</v>
      </c>
      <c r="M11" s="33">
        <f>M2-SUM(M3:M8)</f>
        <v>196</v>
      </c>
      <c r="N11" s="33">
        <f t="shared" si="1"/>
        <v>2197</v>
      </c>
    </row>
    <row r="12" spans="1:20" x14ac:dyDescent="0.3">
      <c r="A12" s="2">
        <f t="shared" ref="A12:A17" si="3">N4</f>
        <v>13</v>
      </c>
      <c r="B12" s="1" t="s">
        <v>28</v>
      </c>
      <c r="I12" s="43" t="s">
        <v>13</v>
      </c>
      <c r="J12" s="45">
        <f>J$10/J$2</f>
        <v>0.29444444444444445</v>
      </c>
      <c r="K12" s="45">
        <f t="shared" ref="K12:N12" si="4">K$10/K$2</f>
        <v>0.30428571428571427</v>
      </c>
      <c r="L12" s="45">
        <f t="shared" si="4"/>
        <v>0</v>
      </c>
      <c r="M12" s="45">
        <f t="shared" si="4"/>
        <v>0.02</v>
      </c>
      <c r="N12" s="45">
        <f t="shared" si="4"/>
        <v>0.12817460317460316</v>
      </c>
      <c r="O12" t="s">
        <v>85</v>
      </c>
      <c r="P12" s="45"/>
    </row>
    <row r="13" spans="1:20" x14ac:dyDescent="0.3">
      <c r="A13" s="2">
        <f t="shared" si="3"/>
        <v>232</v>
      </c>
      <c r="B13" s="1" t="s">
        <v>25</v>
      </c>
      <c r="N13" s="45">
        <f>SUM(N3:N7)/N2</f>
        <v>0.10357142857142858</v>
      </c>
      <c r="O13" t="s">
        <v>84</v>
      </c>
    </row>
    <row r="14" spans="1:20" x14ac:dyDescent="0.3">
      <c r="A14" s="2">
        <f t="shared" si="3"/>
        <v>8</v>
      </c>
      <c r="B14" s="1" t="s">
        <v>27</v>
      </c>
      <c r="N14" s="45">
        <f>SUM(N3:N4,N6:N7)/N2</f>
        <v>1.1507936507936509E-2</v>
      </c>
      <c r="O14" t="s">
        <v>83</v>
      </c>
    </row>
    <row r="15" spans="1:20" x14ac:dyDescent="0.3">
      <c r="A15" s="2">
        <f t="shared" si="3"/>
        <v>0</v>
      </c>
      <c r="B15" s="1" t="s">
        <v>80</v>
      </c>
    </row>
    <row r="16" spans="1:20" x14ac:dyDescent="0.3">
      <c r="A16" s="2">
        <f t="shared" si="3"/>
        <v>62</v>
      </c>
      <c r="B16" s="1" t="s">
        <v>63</v>
      </c>
    </row>
    <row r="17" spans="1:12" x14ac:dyDescent="0.3">
      <c r="A17" s="2">
        <f t="shared" si="3"/>
        <v>0</v>
      </c>
      <c r="B17" s="1" t="s">
        <v>53</v>
      </c>
      <c r="I17" s="38" t="s">
        <v>6</v>
      </c>
      <c r="J17">
        <v>8</v>
      </c>
      <c r="L17" s="46"/>
    </row>
    <row r="18" spans="1:12" x14ac:dyDescent="0.3">
      <c r="A18" s="2">
        <f>SUM(A11:A17)</f>
        <v>323</v>
      </c>
      <c r="B18" s="1" t="s">
        <v>12</v>
      </c>
      <c r="C18">
        <f>ROUND(A18/2000,2)</f>
        <v>0.16</v>
      </c>
      <c r="I18" s="38" t="s">
        <v>28</v>
      </c>
      <c r="J18">
        <v>13</v>
      </c>
    </row>
    <row r="19" spans="1:12" x14ac:dyDescent="0.3">
      <c r="A19" s="2">
        <f>A10-A18</f>
        <v>2197</v>
      </c>
      <c r="B19" s="1" t="s">
        <v>54</v>
      </c>
      <c r="I19" s="38" t="s">
        <v>25</v>
      </c>
      <c r="J19">
        <v>232</v>
      </c>
    </row>
    <row r="20" spans="1:12" x14ac:dyDescent="0.3">
      <c r="A20" s="2"/>
      <c r="B20" s="1" t="s">
        <v>55</v>
      </c>
      <c r="I20" s="38" t="s">
        <v>27</v>
      </c>
      <c r="J20">
        <v>8</v>
      </c>
    </row>
    <row r="21" spans="1:12" x14ac:dyDescent="0.3">
      <c r="A21" s="2"/>
      <c r="B21" s="1" t="s">
        <v>56</v>
      </c>
      <c r="I21" s="38" t="s">
        <v>63</v>
      </c>
      <c r="J21">
        <v>62</v>
      </c>
    </row>
    <row r="22" spans="1:12" x14ac:dyDescent="0.3">
      <c r="A22" s="2">
        <f>SUM(A19:A21)</f>
        <v>2197</v>
      </c>
      <c r="B22" s="1" t="s">
        <v>11</v>
      </c>
      <c r="C22">
        <f>ROUND(A22/2000,2)</f>
        <v>1.1000000000000001</v>
      </c>
      <c r="I22" s="38" t="s">
        <v>54</v>
      </c>
      <c r="J22" s="33">
        <v>2197</v>
      </c>
    </row>
    <row r="23" spans="1:12" x14ac:dyDescent="0.3">
      <c r="A23" s="3">
        <f>A18/A8</f>
        <v>0.12817460317460316</v>
      </c>
      <c r="B23" s="1" t="s">
        <v>13</v>
      </c>
      <c r="I23" s="38"/>
    </row>
    <row r="24" spans="1:12" x14ac:dyDescent="0.3">
      <c r="B24" s="1"/>
    </row>
    <row r="25" spans="1:12" x14ac:dyDescent="0.3">
      <c r="A25" s="2"/>
      <c r="B25" s="1" t="s">
        <v>18</v>
      </c>
    </row>
    <row r="26" spans="1:12" x14ac:dyDescent="0.3">
      <c r="A26" s="11" t="s">
        <v>71</v>
      </c>
    </row>
    <row r="27" spans="1:12" x14ac:dyDescent="0.3">
      <c r="B27" s="1" t="s">
        <v>6</v>
      </c>
      <c r="C27" s="2">
        <f>N3</f>
        <v>8</v>
      </c>
    </row>
    <row r="28" spans="1:12" x14ac:dyDescent="0.3">
      <c r="B28" s="1" t="s">
        <v>28</v>
      </c>
      <c r="C28" s="2">
        <f t="shared" ref="C28:C32" si="5">N4</f>
        <v>13</v>
      </c>
    </row>
    <row r="29" spans="1:12" x14ac:dyDescent="0.3">
      <c r="B29" s="1" t="s">
        <v>25</v>
      </c>
      <c r="C29" s="2">
        <f t="shared" si="5"/>
        <v>232</v>
      </c>
    </row>
    <row r="30" spans="1:12" x14ac:dyDescent="0.3">
      <c r="B30" s="1" t="s">
        <v>27</v>
      </c>
      <c r="C30" s="2">
        <f t="shared" si="5"/>
        <v>8</v>
      </c>
    </row>
    <row r="31" spans="1:12" x14ac:dyDescent="0.3">
      <c r="B31" s="1" t="s">
        <v>80</v>
      </c>
      <c r="C31" s="2">
        <f t="shared" si="5"/>
        <v>0</v>
      </c>
    </row>
    <row r="32" spans="1:12" x14ac:dyDescent="0.3">
      <c r="B32" s="1" t="s">
        <v>63</v>
      </c>
      <c r="C32" s="2">
        <f t="shared" si="5"/>
        <v>62</v>
      </c>
    </row>
    <row r="33" spans="2:5" x14ac:dyDescent="0.3">
      <c r="B33" s="1" t="s">
        <v>54</v>
      </c>
      <c r="C33" s="2">
        <f>N11</f>
        <v>2197</v>
      </c>
      <c r="E33" s="26"/>
    </row>
    <row r="35" spans="2:5" x14ac:dyDescent="0.3">
      <c r="B35" s="1" t="s">
        <v>72</v>
      </c>
      <c r="C35" s="33">
        <f>A18</f>
        <v>323</v>
      </c>
    </row>
    <row r="36" spans="2:5" x14ac:dyDescent="0.3">
      <c r="B36" s="1" t="s">
        <v>54</v>
      </c>
      <c r="C36" s="33">
        <f>A19</f>
        <v>2197</v>
      </c>
    </row>
    <row r="38" spans="2:5" x14ac:dyDescent="0.3">
      <c r="B38" s="34" t="s">
        <v>31</v>
      </c>
    </row>
    <row r="39" spans="2:5" x14ac:dyDescent="0.3">
      <c r="B39" s="1" t="s">
        <v>6</v>
      </c>
      <c r="C39" s="2"/>
    </row>
    <row r="40" spans="2:5" x14ac:dyDescent="0.3">
      <c r="B40" s="1" t="s">
        <v>28</v>
      </c>
      <c r="C40" s="2"/>
    </row>
    <row r="41" spans="2:5" x14ac:dyDescent="0.3">
      <c r="B41" s="1" t="s">
        <v>25</v>
      </c>
      <c r="C41" s="2"/>
    </row>
    <row r="42" spans="2:5" x14ac:dyDescent="0.3">
      <c r="B42" s="1" t="s">
        <v>27</v>
      </c>
      <c r="C42" s="2"/>
    </row>
    <row r="43" spans="2:5" x14ac:dyDescent="0.3">
      <c r="B43" s="1" t="s">
        <v>54</v>
      </c>
      <c r="C43" s="2"/>
    </row>
  </sheetData>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43"/>
  <sheetViews>
    <sheetView workbookViewId="0">
      <selection activeCell="H28" sqref="H28"/>
    </sheetView>
  </sheetViews>
  <sheetFormatPr defaultRowHeight="14.4" x14ac:dyDescent="0.3"/>
  <cols>
    <col min="1" max="1" width="11" customWidth="1"/>
    <col min="2" max="2" width="36" bestFit="1" customWidth="1"/>
  </cols>
  <sheetData>
    <row r="1" spans="1:16" x14ac:dyDescent="0.3">
      <c r="A1" t="s">
        <v>79</v>
      </c>
      <c r="J1" t="s">
        <v>75</v>
      </c>
      <c r="K1" t="s">
        <v>76</v>
      </c>
      <c r="L1" t="s">
        <v>77</v>
      </c>
      <c r="M1" t="s">
        <v>78</v>
      </c>
    </row>
    <row r="2" spans="1:16" x14ac:dyDescent="0.3">
      <c r="A2" s="11" t="s">
        <v>62</v>
      </c>
      <c r="C2" s="11" t="s">
        <v>23</v>
      </c>
      <c r="I2" s="11" t="s">
        <v>62</v>
      </c>
      <c r="J2" s="39">
        <f>A3</f>
        <v>880</v>
      </c>
      <c r="K2" s="39">
        <f>A4</f>
        <v>1180</v>
      </c>
      <c r="L2" s="39">
        <f>A5</f>
        <v>1300</v>
      </c>
      <c r="M2" s="39">
        <f>A6</f>
        <v>940</v>
      </c>
      <c r="N2" s="39">
        <f>SUM(J2:M2)</f>
        <v>4300</v>
      </c>
      <c r="O2" s="33">
        <f>N2-SUM(N5,N8)</f>
        <v>2906</v>
      </c>
      <c r="P2" t="s">
        <v>82</v>
      </c>
    </row>
    <row r="3" spans="1:16" x14ac:dyDescent="0.3">
      <c r="A3" s="2">
        <f>34640-33760</f>
        <v>880</v>
      </c>
      <c r="B3" t="s">
        <v>42</v>
      </c>
      <c r="C3" s="40">
        <f>A3/2000</f>
        <v>0.44</v>
      </c>
      <c r="I3" s="38" t="s">
        <v>6</v>
      </c>
      <c r="J3">
        <v>24</v>
      </c>
      <c r="K3">
        <v>88</v>
      </c>
      <c r="L3">
        <v>0</v>
      </c>
      <c r="M3" s="2">
        <v>24</v>
      </c>
      <c r="N3">
        <f>SUM(J3:M3)</f>
        <v>136</v>
      </c>
    </row>
    <row r="4" spans="1:16" x14ac:dyDescent="0.3">
      <c r="A4" s="2">
        <f>35360-34180</f>
        <v>1180</v>
      </c>
      <c r="B4" t="s">
        <v>2</v>
      </c>
      <c r="C4" s="40">
        <f t="shared" ref="C4:C6" si="0">A4/2000</f>
        <v>0.59</v>
      </c>
      <c r="I4" s="38" t="s">
        <v>28</v>
      </c>
      <c r="J4">
        <v>36</v>
      </c>
      <c r="K4">
        <v>5</v>
      </c>
      <c r="L4">
        <v>0</v>
      </c>
      <c r="M4" s="2">
        <v>12</v>
      </c>
      <c r="N4">
        <f t="shared" ref="N4:N11" si="1">SUM(J4:M4)</f>
        <v>53</v>
      </c>
    </row>
    <row r="5" spans="1:16" x14ac:dyDescent="0.3">
      <c r="A5" s="2">
        <f>31740-30440</f>
        <v>1300</v>
      </c>
      <c r="B5" t="s">
        <v>74</v>
      </c>
      <c r="C5" s="40">
        <f t="shared" si="0"/>
        <v>0.65</v>
      </c>
      <c r="I5" s="38" t="s">
        <v>25</v>
      </c>
      <c r="J5">
        <v>233</v>
      </c>
      <c r="K5">
        <v>221</v>
      </c>
      <c r="L5">
        <v>306</v>
      </c>
      <c r="M5" s="2">
        <v>252</v>
      </c>
      <c r="N5">
        <f t="shared" si="1"/>
        <v>1012</v>
      </c>
      <c r="O5" s="37">
        <f>N5/$N$2</f>
        <v>0.23534883720930233</v>
      </c>
    </row>
    <row r="6" spans="1:16" x14ac:dyDescent="0.3">
      <c r="A6" s="2">
        <f>35000-34060</f>
        <v>940</v>
      </c>
      <c r="B6" s="24" t="s">
        <v>4</v>
      </c>
      <c r="C6" s="40">
        <f t="shared" si="0"/>
        <v>0.47</v>
      </c>
      <c r="I6" s="38" t="s">
        <v>27</v>
      </c>
      <c r="J6">
        <v>31</v>
      </c>
      <c r="K6">
        <v>16</v>
      </c>
      <c r="L6">
        <v>0</v>
      </c>
      <c r="M6" s="2">
        <v>8</v>
      </c>
      <c r="N6">
        <f t="shared" si="1"/>
        <v>55</v>
      </c>
    </row>
    <row r="7" spans="1:16" x14ac:dyDescent="0.3">
      <c r="I7" s="38" t="s">
        <v>81</v>
      </c>
      <c r="J7">
        <v>21</v>
      </c>
      <c r="K7">
        <v>96</v>
      </c>
      <c r="L7">
        <v>0</v>
      </c>
      <c r="M7" s="2">
        <v>36</v>
      </c>
      <c r="N7">
        <f t="shared" si="1"/>
        <v>153</v>
      </c>
    </row>
    <row r="8" spans="1:16" x14ac:dyDescent="0.3">
      <c r="A8" s="2">
        <f>SUM(A3:A6)</f>
        <v>4300</v>
      </c>
      <c r="B8" s="1" t="s">
        <v>67</v>
      </c>
      <c r="C8">
        <f>SUM(C3:C6)</f>
        <v>2.1500000000000004</v>
      </c>
      <c r="I8" s="38" t="s">
        <v>63</v>
      </c>
      <c r="J8">
        <v>0</v>
      </c>
      <c r="K8">
        <v>116</v>
      </c>
      <c r="L8">
        <v>266</v>
      </c>
      <c r="M8">
        <v>0</v>
      </c>
      <c r="N8">
        <f t="shared" si="1"/>
        <v>382</v>
      </c>
      <c r="O8" s="37">
        <f>N8/$N$2</f>
        <v>8.8837209302325582E-2</v>
      </c>
    </row>
    <row r="9" spans="1:16" x14ac:dyDescent="0.3">
      <c r="A9" s="2"/>
      <c r="B9" s="1"/>
      <c r="I9" s="38" t="s">
        <v>53</v>
      </c>
      <c r="J9">
        <v>0</v>
      </c>
      <c r="K9">
        <v>0</v>
      </c>
      <c r="L9">
        <v>0</v>
      </c>
      <c r="M9">
        <v>0</v>
      </c>
      <c r="N9">
        <f t="shared" si="1"/>
        <v>0</v>
      </c>
    </row>
    <row r="10" spans="1:16" x14ac:dyDescent="0.3">
      <c r="A10" s="2"/>
      <c r="B10" s="34" t="s">
        <v>66</v>
      </c>
      <c r="C10">
        <f>ROUND(A10/2000,2)</f>
        <v>0</v>
      </c>
      <c r="I10" s="38" t="s">
        <v>12</v>
      </c>
      <c r="J10">
        <f>SUM(J3:J9)</f>
        <v>345</v>
      </c>
      <c r="K10">
        <f t="shared" ref="K10:M10" si="2">SUM(K3:K9)</f>
        <v>542</v>
      </c>
      <c r="L10">
        <f t="shared" si="2"/>
        <v>572</v>
      </c>
      <c r="M10">
        <f t="shared" si="2"/>
        <v>332</v>
      </c>
      <c r="N10">
        <f t="shared" si="1"/>
        <v>1791</v>
      </c>
    </row>
    <row r="11" spans="1:16" x14ac:dyDescent="0.3">
      <c r="A11" s="2">
        <f>N3</f>
        <v>136</v>
      </c>
      <c r="B11" s="1" t="s">
        <v>6</v>
      </c>
      <c r="I11" s="38" t="s">
        <v>54</v>
      </c>
      <c r="J11" s="33">
        <f>J2-SUM(J3:J8)</f>
        <v>535</v>
      </c>
      <c r="K11" s="33">
        <f>K2-SUM(K3:K8)</f>
        <v>638</v>
      </c>
      <c r="L11" s="33">
        <f>L2-SUM(L3:L8)</f>
        <v>728</v>
      </c>
      <c r="M11" s="33">
        <f>M2-SUM(M3:M8)</f>
        <v>608</v>
      </c>
      <c r="N11" s="33">
        <f t="shared" si="1"/>
        <v>2509</v>
      </c>
    </row>
    <row r="12" spans="1:16" x14ac:dyDescent="0.3">
      <c r="A12" s="2">
        <f t="shared" ref="A12:A17" si="3">N4</f>
        <v>53</v>
      </c>
      <c r="B12" s="1" t="s">
        <v>28</v>
      </c>
      <c r="I12" s="38" t="s">
        <v>13</v>
      </c>
      <c r="J12" s="37">
        <f>J$10/J$2</f>
        <v>0.39204545454545453</v>
      </c>
      <c r="K12" s="37">
        <f t="shared" ref="K12:N12" si="4">K$10/K$2</f>
        <v>0.45932203389830506</v>
      </c>
      <c r="L12" s="37">
        <f t="shared" si="4"/>
        <v>0.44</v>
      </c>
      <c r="M12" s="37">
        <f t="shared" si="4"/>
        <v>0.35319148936170214</v>
      </c>
      <c r="N12" s="37">
        <f t="shared" si="4"/>
        <v>0.41651162790697677</v>
      </c>
      <c r="O12" t="s">
        <v>85</v>
      </c>
    </row>
    <row r="13" spans="1:16" x14ac:dyDescent="0.3">
      <c r="A13" s="2">
        <f t="shared" si="3"/>
        <v>1012</v>
      </c>
      <c r="B13" s="1" t="s">
        <v>25</v>
      </c>
      <c r="N13" s="37">
        <f>SUM(N3:N7)/N2</f>
        <v>0.32767441860465119</v>
      </c>
      <c r="O13" t="s">
        <v>84</v>
      </c>
    </row>
    <row r="14" spans="1:16" x14ac:dyDescent="0.3">
      <c r="A14" s="2">
        <f t="shared" si="3"/>
        <v>55</v>
      </c>
      <c r="B14" s="1" t="s">
        <v>27</v>
      </c>
      <c r="N14" s="37">
        <f>SUM(N3:N4,N6:N7)/N2</f>
        <v>9.2325581395348841E-2</v>
      </c>
      <c r="O14" t="s">
        <v>83</v>
      </c>
    </row>
    <row r="15" spans="1:16" x14ac:dyDescent="0.3">
      <c r="A15" s="2">
        <f t="shared" si="3"/>
        <v>153</v>
      </c>
      <c r="B15" s="1" t="s">
        <v>80</v>
      </c>
    </row>
    <row r="16" spans="1:16" x14ac:dyDescent="0.3">
      <c r="A16" s="2">
        <f t="shared" si="3"/>
        <v>382</v>
      </c>
      <c r="B16" s="1" t="s">
        <v>63</v>
      </c>
    </row>
    <row r="17" spans="1:3" x14ac:dyDescent="0.3">
      <c r="A17" s="2">
        <f t="shared" si="3"/>
        <v>0</v>
      </c>
      <c r="B17" s="1" t="s">
        <v>53</v>
      </c>
    </row>
    <row r="18" spans="1:3" x14ac:dyDescent="0.3">
      <c r="A18" s="2">
        <f>SUM(A11:A17)</f>
        <v>1791</v>
      </c>
      <c r="B18" s="1" t="s">
        <v>12</v>
      </c>
      <c r="C18">
        <f>ROUND(A18/2000,2)</f>
        <v>0.9</v>
      </c>
    </row>
    <row r="19" spans="1:3" x14ac:dyDescent="0.3">
      <c r="A19" s="2"/>
      <c r="B19" s="1" t="s">
        <v>54</v>
      </c>
    </row>
    <row r="20" spans="1:3" x14ac:dyDescent="0.3">
      <c r="A20" s="2"/>
      <c r="B20" s="1" t="s">
        <v>55</v>
      </c>
    </row>
    <row r="21" spans="1:3" x14ac:dyDescent="0.3">
      <c r="A21" s="2"/>
      <c r="B21" s="1" t="s">
        <v>56</v>
      </c>
    </row>
    <row r="22" spans="1:3" x14ac:dyDescent="0.3">
      <c r="A22" s="2">
        <f>SUM(A19:A21)</f>
        <v>0</v>
      </c>
      <c r="B22" s="1" t="s">
        <v>11</v>
      </c>
      <c r="C22">
        <f>ROUND(A22/2000,2)</f>
        <v>0</v>
      </c>
    </row>
    <row r="23" spans="1:3" x14ac:dyDescent="0.3">
      <c r="A23" s="3">
        <f>A18/A8</f>
        <v>0.41651162790697677</v>
      </c>
      <c r="B23" s="1" t="s">
        <v>13</v>
      </c>
    </row>
    <row r="24" spans="1:3" x14ac:dyDescent="0.3">
      <c r="B24" s="1"/>
    </row>
    <row r="25" spans="1:3" x14ac:dyDescent="0.3">
      <c r="A25" s="2"/>
      <c r="B25" s="1" t="s">
        <v>18</v>
      </c>
    </row>
    <row r="26" spans="1:3" x14ac:dyDescent="0.3">
      <c r="A26" s="11" t="s">
        <v>71</v>
      </c>
    </row>
    <row r="27" spans="1:3" x14ac:dyDescent="0.3">
      <c r="B27" s="1" t="s">
        <v>6</v>
      </c>
      <c r="C27" s="2">
        <f>N3</f>
        <v>136</v>
      </c>
    </row>
    <row r="28" spans="1:3" x14ac:dyDescent="0.3">
      <c r="B28" s="1" t="s">
        <v>28</v>
      </c>
      <c r="C28" s="2">
        <f t="shared" ref="C28:C32" si="5">N4</f>
        <v>53</v>
      </c>
    </row>
    <row r="29" spans="1:3" x14ac:dyDescent="0.3">
      <c r="B29" s="1" t="s">
        <v>25</v>
      </c>
      <c r="C29" s="2">
        <f t="shared" si="5"/>
        <v>1012</v>
      </c>
    </row>
    <row r="30" spans="1:3" x14ac:dyDescent="0.3">
      <c r="B30" s="1" t="s">
        <v>27</v>
      </c>
      <c r="C30" s="2">
        <f t="shared" si="5"/>
        <v>55</v>
      </c>
    </row>
    <row r="31" spans="1:3" x14ac:dyDescent="0.3">
      <c r="B31" s="1" t="s">
        <v>80</v>
      </c>
      <c r="C31" s="2">
        <f t="shared" si="5"/>
        <v>153</v>
      </c>
    </row>
    <row r="32" spans="1:3" x14ac:dyDescent="0.3">
      <c r="B32" s="1" t="s">
        <v>63</v>
      </c>
      <c r="C32" s="2">
        <f t="shared" si="5"/>
        <v>382</v>
      </c>
    </row>
    <row r="33" spans="2:5" x14ac:dyDescent="0.3">
      <c r="B33" s="1" t="s">
        <v>54</v>
      </c>
      <c r="C33" s="2">
        <f>N11</f>
        <v>2509</v>
      </c>
      <c r="E33" s="26"/>
    </row>
    <row r="35" spans="2:5" x14ac:dyDescent="0.3">
      <c r="B35" s="1" t="s">
        <v>72</v>
      </c>
      <c r="C35" s="33">
        <f>A18</f>
        <v>1791</v>
      </c>
    </row>
    <row r="36" spans="2:5" x14ac:dyDescent="0.3">
      <c r="B36" s="1" t="s">
        <v>54</v>
      </c>
      <c r="C36" s="33">
        <f>A19</f>
        <v>0</v>
      </c>
    </row>
    <row r="38" spans="2:5" x14ac:dyDescent="0.3">
      <c r="B38" s="34" t="s">
        <v>31</v>
      </c>
    </row>
    <row r="39" spans="2:5" x14ac:dyDescent="0.3">
      <c r="B39" s="1" t="s">
        <v>6</v>
      </c>
      <c r="C39" s="2"/>
    </row>
    <row r="40" spans="2:5" x14ac:dyDescent="0.3">
      <c r="B40" s="1" t="s">
        <v>28</v>
      </c>
      <c r="C40" s="2"/>
    </row>
    <row r="41" spans="2:5" x14ac:dyDescent="0.3">
      <c r="B41" s="1" t="s">
        <v>25</v>
      </c>
      <c r="C41" s="2"/>
    </row>
    <row r="42" spans="2:5" x14ac:dyDescent="0.3">
      <c r="B42" s="1" t="s">
        <v>27</v>
      </c>
      <c r="C42" s="2"/>
    </row>
    <row r="43" spans="2:5" x14ac:dyDescent="0.3">
      <c r="B43" s="1" t="s">
        <v>54</v>
      </c>
      <c r="C43" s="2"/>
    </row>
  </sheetData>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42"/>
  <sheetViews>
    <sheetView workbookViewId="0">
      <selection activeCell="U18" sqref="U18"/>
    </sheetView>
  </sheetViews>
  <sheetFormatPr defaultRowHeight="14.4" x14ac:dyDescent="0.3"/>
  <cols>
    <col min="1" max="1" width="9.5546875" bestFit="1" customWidth="1"/>
    <col min="2" max="2" width="36" bestFit="1" customWidth="1"/>
  </cols>
  <sheetData>
    <row r="1" spans="1:14" x14ac:dyDescent="0.3">
      <c r="A1" t="s">
        <v>79</v>
      </c>
      <c r="J1" t="s">
        <v>75</v>
      </c>
      <c r="K1" t="s">
        <v>76</v>
      </c>
      <c r="L1" t="s">
        <v>77</v>
      </c>
      <c r="M1" t="s">
        <v>78</v>
      </c>
    </row>
    <row r="2" spans="1:14" x14ac:dyDescent="0.3">
      <c r="A2" s="11" t="s">
        <v>62</v>
      </c>
      <c r="C2" s="11" t="s">
        <v>23</v>
      </c>
      <c r="I2" s="11" t="s">
        <v>62</v>
      </c>
      <c r="J2" s="39">
        <f>A3</f>
        <v>1120</v>
      </c>
      <c r="K2" s="39">
        <f>A4</f>
        <v>820</v>
      </c>
      <c r="L2" s="39">
        <f>A5</f>
        <v>1040</v>
      </c>
      <c r="M2" s="39">
        <f>A6</f>
        <v>820</v>
      </c>
    </row>
    <row r="3" spans="1:14" x14ac:dyDescent="0.3">
      <c r="A3" s="2">
        <f>ROUND($C3*2000,0)</f>
        <v>1120</v>
      </c>
      <c r="B3" t="s">
        <v>42</v>
      </c>
      <c r="C3">
        <v>0.56000000000000005</v>
      </c>
      <c r="I3" s="38" t="s">
        <v>6</v>
      </c>
      <c r="M3" s="2"/>
      <c r="N3">
        <f>SUM(J3:M3)</f>
        <v>0</v>
      </c>
    </row>
    <row r="4" spans="1:14" x14ac:dyDescent="0.3">
      <c r="A4" s="2">
        <f t="shared" ref="A4:A6" si="0">ROUND($C4*2000,0)</f>
        <v>820</v>
      </c>
      <c r="B4" t="s">
        <v>2</v>
      </c>
      <c r="C4" s="36">
        <v>0.41</v>
      </c>
      <c r="I4" s="38" t="s">
        <v>28</v>
      </c>
      <c r="M4" s="2"/>
      <c r="N4">
        <f t="shared" ref="N4:N11" si="1">SUM(J4:M4)</f>
        <v>0</v>
      </c>
    </row>
    <row r="5" spans="1:14" x14ac:dyDescent="0.3">
      <c r="A5" s="2">
        <f t="shared" si="0"/>
        <v>1040</v>
      </c>
      <c r="B5" t="s">
        <v>74</v>
      </c>
      <c r="C5" s="36">
        <v>0.52</v>
      </c>
      <c r="I5" s="38" t="s">
        <v>25</v>
      </c>
      <c r="M5" s="2"/>
      <c r="N5">
        <f t="shared" si="1"/>
        <v>0</v>
      </c>
    </row>
    <row r="6" spans="1:14" x14ac:dyDescent="0.3">
      <c r="A6" s="2">
        <f t="shared" si="0"/>
        <v>820</v>
      </c>
      <c r="B6" s="24" t="s">
        <v>4</v>
      </c>
      <c r="C6">
        <v>0.41</v>
      </c>
      <c r="I6" s="38" t="s">
        <v>27</v>
      </c>
      <c r="M6" s="2"/>
      <c r="N6">
        <f t="shared" si="1"/>
        <v>0</v>
      </c>
    </row>
    <row r="7" spans="1:14" x14ac:dyDescent="0.3">
      <c r="I7" s="38" t="s">
        <v>80</v>
      </c>
      <c r="M7" s="2"/>
      <c r="N7">
        <f t="shared" si="1"/>
        <v>0</v>
      </c>
    </row>
    <row r="8" spans="1:14" x14ac:dyDescent="0.3">
      <c r="A8" s="2">
        <f>SUM(A3:A6)</f>
        <v>3800</v>
      </c>
      <c r="B8" s="1" t="s">
        <v>67</v>
      </c>
      <c r="C8">
        <f>SUM(C3:C6)</f>
        <v>1.9</v>
      </c>
      <c r="I8" s="38" t="s">
        <v>63</v>
      </c>
      <c r="M8" s="2"/>
      <c r="N8">
        <f t="shared" si="1"/>
        <v>0</v>
      </c>
    </row>
    <row r="9" spans="1:14" x14ac:dyDescent="0.3">
      <c r="A9" s="2"/>
      <c r="B9" s="1"/>
      <c r="I9" s="38" t="s">
        <v>53</v>
      </c>
      <c r="M9" s="2"/>
      <c r="N9">
        <f t="shared" si="1"/>
        <v>0</v>
      </c>
    </row>
    <row r="10" spans="1:14" x14ac:dyDescent="0.3">
      <c r="A10" s="2">
        <f>A8</f>
        <v>3800</v>
      </c>
      <c r="B10" s="1" t="s">
        <v>66</v>
      </c>
      <c r="C10">
        <f>ROUND(A10/2000,2)</f>
        <v>1.9</v>
      </c>
      <c r="I10" s="38" t="s">
        <v>12</v>
      </c>
      <c r="M10" s="2"/>
      <c r="N10">
        <f t="shared" si="1"/>
        <v>0</v>
      </c>
    </row>
    <row r="11" spans="1:14" x14ac:dyDescent="0.3">
      <c r="A11" s="2">
        <f>N3</f>
        <v>0</v>
      </c>
      <c r="B11" s="1" t="s">
        <v>6</v>
      </c>
      <c r="I11" s="38" t="s">
        <v>54</v>
      </c>
      <c r="J11" s="33">
        <f>J2-SUM(J3:J8)</f>
        <v>1120</v>
      </c>
      <c r="K11" s="33">
        <f>K2-SUM(K3:K8)</f>
        <v>820</v>
      </c>
      <c r="L11" s="33">
        <f>L2-SUM(L3:L8)</f>
        <v>1040</v>
      </c>
      <c r="M11" s="33">
        <f>M2-SUM(M3:M8)</f>
        <v>820</v>
      </c>
      <c r="N11" s="33">
        <f t="shared" si="1"/>
        <v>3800</v>
      </c>
    </row>
    <row r="12" spans="1:14" x14ac:dyDescent="0.3">
      <c r="A12" s="2">
        <f t="shared" ref="A12:A15" si="2">N4</f>
        <v>0</v>
      </c>
      <c r="B12" s="1" t="s">
        <v>28</v>
      </c>
      <c r="I12" s="38" t="s">
        <v>13</v>
      </c>
      <c r="J12" s="37">
        <f t="shared" ref="J12:L12" si="3">SUM(SUM(J3:J7)/SUM(J3:J11))</f>
        <v>0</v>
      </c>
      <c r="K12" s="37">
        <f t="shared" si="3"/>
        <v>0</v>
      </c>
      <c r="L12" s="37">
        <f t="shared" si="3"/>
        <v>0</v>
      </c>
      <c r="M12" s="37">
        <f>SUM(SUM(M3:M7)/SUM(M3:M11))</f>
        <v>0</v>
      </c>
      <c r="N12" s="37">
        <f>SUM(SUM(N3:N7)/SUM(N3:N11))</f>
        <v>0</v>
      </c>
    </row>
    <row r="13" spans="1:14" x14ac:dyDescent="0.3">
      <c r="A13" s="2">
        <f t="shared" si="2"/>
        <v>0</v>
      </c>
      <c r="B13" s="1" t="s">
        <v>25</v>
      </c>
    </row>
    <row r="14" spans="1:14" x14ac:dyDescent="0.3">
      <c r="A14" s="2">
        <f t="shared" si="2"/>
        <v>0</v>
      </c>
      <c r="B14" s="1" t="s">
        <v>27</v>
      </c>
    </row>
    <row r="15" spans="1:14" x14ac:dyDescent="0.3">
      <c r="A15" s="2">
        <f t="shared" si="2"/>
        <v>0</v>
      </c>
      <c r="B15" s="1" t="s">
        <v>80</v>
      </c>
    </row>
    <row r="16" spans="1:14" x14ac:dyDescent="0.3">
      <c r="A16" s="2"/>
      <c r="B16" s="1" t="s">
        <v>63</v>
      </c>
    </row>
    <row r="17" spans="1:5" x14ac:dyDescent="0.3">
      <c r="A17" s="2"/>
      <c r="B17" s="1" t="s">
        <v>53</v>
      </c>
    </row>
    <row r="18" spans="1:5" x14ac:dyDescent="0.3">
      <c r="A18" s="2"/>
      <c r="B18" s="1" t="s">
        <v>12</v>
      </c>
      <c r="C18">
        <f>ROUND(A18/2000,2)</f>
        <v>0</v>
      </c>
    </row>
    <row r="19" spans="1:5" x14ac:dyDescent="0.3">
      <c r="A19" s="2"/>
      <c r="B19" s="1" t="s">
        <v>54</v>
      </c>
    </row>
    <row r="20" spans="1:5" x14ac:dyDescent="0.3">
      <c r="A20" s="2"/>
      <c r="B20" s="1" t="s">
        <v>55</v>
      </c>
    </row>
    <row r="21" spans="1:5" x14ac:dyDescent="0.3">
      <c r="A21" s="2"/>
      <c r="B21" s="1" t="s">
        <v>56</v>
      </c>
    </row>
    <row r="22" spans="1:5" x14ac:dyDescent="0.3">
      <c r="A22" s="2">
        <f>SUM(A19:A21)</f>
        <v>0</v>
      </c>
      <c r="B22" s="1" t="s">
        <v>11</v>
      </c>
      <c r="C22">
        <f>ROUND(A22/2000,2)</f>
        <v>0</v>
      </c>
    </row>
    <row r="23" spans="1:5" x14ac:dyDescent="0.3">
      <c r="A23" s="3">
        <f>A18/A10</f>
        <v>0</v>
      </c>
      <c r="B23" s="1" t="s">
        <v>13</v>
      </c>
    </row>
    <row r="24" spans="1:5" x14ac:dyDescent="0.3">
      <c r="B24" s="1"/>
    </row>
    <row r="25" spans="1:5" x14ac:dyDescent="0.3">
      <c r="A25" s="2"/>
      <c r="B25" s="1" t="s">
        <v>18</v>
      </c>
    </row>
    <row r="26" spans="1:5" x14ac:dyDescent="0.3">
      <c r="A26" t="s">
        <v>71</v>
      </c>
    </row>
    <row r="27" spans="1:5" x14ac:dyDescent="0.3">
      <c r="B27" s="1" t="s">
        <v>6</v>
      </c>
      <c r="C27" s="2">
        <f>N3</f>
        <v>0</v>
      </c>
    </row>
    <row r="28" spans="1:5" x14ac:dyDescent="0.3">
      <c r="B28" s="1" t="s">
        <v>28</v>
      </c>
      <c r="C28" s="2">
        <f t="shared" ref="C28:C31" si="4">N4</f>
        <v>0</v>
      </c>
    </row>
    <row r="29" spans="1:5" x14ac:dyDescent="0.3">
      <c r="B29" s="1" t="s">
        <v>25</v>
      </c>
      <c r="C29" s="2">
        <f t="shared" si="4"/>
        <v>0</v>
      </c>
    </row>
    <row r="30" spans="1:5" x14ac:dyDescent="0.3">
      <c r="B30" s="1" t="s">
        <v>27</v>
      </c>
      <c r="C30" s="2">
        <f t="shared" si="4"/>
        <v>0</v>
      </c>
    </row>
    <row r="31" spans="1:5" x14ac:dyDescent="0.3">
      <c r="B31" s="1" t="s">
        <v>80</v>
      </c>
      <c r="C31" s="2">
        <f t="shared" si="4"/>
        <v>0</v>
      </c>
    </row>
    <row r="32" spans="1:5" x14ac:dyDescent="0.3">
      <c r="B32" s="1" t="s">
        <v>54</v>
      </c>
      <c r="C32" s="2">
        <f>N11</f>
        <v>3800</v>
      </c>
      <c r="E32" s="26"/>
    </row>
    <row r="34" spans="2:3" x14ac:dyDescent="0.3">
      <c r="B34" s="1" t="s">
        <v>72</v>
      </c>
      <c r="C34" s="33">
        <f>A18</f>
        <v>0</v>
      </c>
    </row>
    <row r="35" spans="2:3" x14ac:dyDescent="0.3">
      <c r="B35" s="1" t="s">
        <v>54</v>
      </c>
      <c r="C35" s="33">
        <f>A19</f>
        <v>0</v>
      </c>
    </row>
    <row r="37" spans="2:3" x14ac:dyDescent="0.3">
      <c r="B37" s="34" t="s">
        <v>31</v>
      </c>
    </row>
    <row r="38" spans="2:3" x14ac:dyDescent="0.3">
      <c r="B38" s="1" t="s">
        <v>6</v>
      </c>
      <c r="C38" s="2"/>
    </row>
    <row r="39" spans="2:3" x14ac:dyDescent="0.3">
      <c r="B39" s="1" t="s">
        <v>28</v>
      </c>
      <c r="C39" s="2"/>
    </row>
    <row r="40" spans="2:3" x14ac:dyDescent="0.3">
      <c r="B40" s="1" t="s">
        <v>25</v>
      </c>
      <c r="C40" s="2"/>
    </row>
    <row r="41" spans="2:3" x14ac:dyDescent="0.3">
      <c r="B41" s="1" t="s">
        <v>27</v>
      </c>
      <c r="C41" s="2"/>
    </row>
    <row r="42" spans="2:3" x14ac:dyDescent="0.3">
      <c r="B42" s="1" t="s">
        <v>54</v>
      </c>
      <c r="C42" s="2"/>
    </row>
  </sheetData>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42"/>
  <sheetViews>
    <sheetView workbookViewId="0">
      <selection activeCell="O2" sqref="O2"/>
    </sheetView>
  </sheetViews>
  <sheetFormatPr defaultRowHeight="14.4" x14ac:dyDescent="0.3"/>
  <cols>
    <col min="1" max="1" width="9.5546875" bestFit="1" customWidth="1"/>
    <col min="2" max="2" width="36" bestFit="1" customWidth="1"/>
  </cols>
  <sheetData>
    <row r="1" spans="1:16" x14ac:dyDescent="0.3">
      <c r="A1" t="s">
        <v>79</v>
      </c>
      <c r="J1" t="s">
        <v>75</v>
      </c>
      <c r="K1" t="s">
        <v>76</v>
      </c>
      <c r="L1" t="s">
        <v>77</v>
      </c>
      <c r="M1" t="s">
        <v>78</v>
      </c>
    </row>
    <row r="2" spans="1:16" x14ac:dyDescent="0.3">
      <c r="A2" s="11" t="s">
        <v>62</v>
      </c>
      <c r="C2" s="11" t="s">
        <v>23</v>
      </c>
      <c r="I2" s="11" t="s">
        <v>62</v>
      </c>
      <c r="J2" s="39">
        <f>A3</f>
        <v>460</v>
      </c>
      <c r="K2" s="39">
        <f>A4</f>
        <v>1620</v>
      </c>
      <c r="L2" s="39">
        <f>A5</f>
        <v>1120</v>
      </c>
      <c r="M2" s="11">
        <f>0.2*2000</f>
        <v>400</v>
      </c>
      <c r="N2" s="39">
        <f>SUM(J2:M2)</f>
        <v>3600</v>
      </c>
      <c r="O2" s="33">
        <f>N2-SUM(N5,N8)</f>
        <v>3135</v>
      </c>
      <c r="P2" t="s">
        <v>82</v>
      </c>
    </row>
    <row r="3" spans="1:16" x14ac:dyDescent="0.3">
      <c r="A3" s="2">
        <f>ROUND($C3*2000,0)</f>
        <v>460</v>
      </c>
      <c r="B3" t="s">
        <v>42</v>
      </c>
      <c r="C3">
        <v>0.23</v>
      </c>
      <c r="I3" s="38" t="s">
        <v>6</v>
      </c>
      <c r="J3">
        <v>2</v>
      </c>
      <c r="K3">
        <v>95</v>
      </c>
      <c r="L3">
        <v>20</v>
      </c>
      <c r="M3" s="2">
        <v>2</v>
      </c>
      <c r="N3">
        <f>SUM(J3:M3)</f>
        <v>119</v>
      </c>
    </row>
    <row r="4" spans="1:16" x14ac:dyDescent="0.3">
      <c r="A4" s="2">
        <f t="shared" ref="A4:A6" si="0">ROUND($C4*2000,0)</f>
        <v>1620</v>
      </c>
      <c r="B4" t="s">
        <v>2</v>
      </c>
      <c r="C4" s="36">
        <v>0.81</v>
      </c>
      <c r="I4" s="38" t="s">
        <v>28</v>
      </c>
      <c r="J4">
        <v>8</v>
      </c>
      <c r="K4">
        <v>124</v>
      </c>
      <c r="L4">
        <v>55</v>
      </c>
      <c r="M4" s="2">
        <v>17</v>
      </c>
      <c r="N4">
        <f t="shared" ref="N4:N11" si="1">SUM(J4:M4)</f>
        <v>204</v>
      </c>
    </row>
    <row r="5" spans="1:16" x14ac:dyDescent="0.3">
      <c r="A5" s="2">
        <f t="shared" si="0"/>
        <v>1120</v>
      </c>
      <c r="B5" t="s">
        <v>74</v>
      </c>
      <c r="C5" s="36">
        <v>0.56000000000000005</v>
      </c>
      <c r="I5" s="38" t="s">
        <v>25</v>
      </c>
      <c r="J5">
        <v>28</v>
      </c>
      <c r="K5">
        <v>35</v>
      </c>
      <c r="L5">
        <v>149</v>
      </c>
      <c r="M5" s="2">
        <v>25</v>
      </c>
      <c r="N5">
        <f t="shared" si="1"/>
        <v>237</v>
      </c>
    </row>
    <row r="6" spans="1:16" x14ac:dyDescent="0.3">
      <c r="A6" s="2">
        <f t="shared" si="0"/>
        <v>400</v>
      </c>
      <c r="B6" s="24" t="s">
        <v>4</v>
      </c>
      <c r="C6">
        <v>0.2</v>
      </c>
      <c r="I6" s="38" t="s">
        <v>27</v>
      </c>
      <c r="J6">
        <v>3</v>
      </c>
      <c r="K6">
        <v>45</v>
      </c>
      <c r="L6">
        <v>50</v>
      </c>
      <c r="M6" s="2">
        <v>14</v>
      </c>
      <c r="N6">
        <f t="shared" si="1"/>
        <v>112</v>
      </c>
    </row>
    <row r="7" spans="1:16" x14ac:dyDescent="0.3">
      <c r="I7" s="38" t="s">
        <v>80</v>
      </c>
      <c r="J7">
        <v>4</v>
      </c>
      <c r="K7">
        <v>5</v>
      </c>
      <c r="L7">
        <v>13</v>
      </c>
      <c r="M7" s="2">
        <v>18</v>
      </c>
      <c r="N7">
        <f t="shared" si="1"/>
        <v>40</v>
      </c>
    </row>
    <row r="8" spans="1:16" x14ac:dyDescent="0.3">
      <c r="A8" s="2">
        <f>SUM(A3:A6)</f>
        <v>3600</v>
      </c>
      <c r="B8" s="1" t="s">
        <v>67</v>
      </c>
      <c r="C8">
        <f>SUM(C3:C6)</f>
        <v>1.8</v>
      </c>
      <c r="I8" s="38" t="s">
        <v>63</v>
      </c>
      <c r="J8">
        <v>24</v>
      </c>
      <c r="K8">
        <v>78</v>
      </c>
      <c r="L8">
        <v>126</v>
      </c>
      <c r="M8" s="2"/>
      <c r="N8">
        <f t="shared" si="1"/>
        <v>228</v>
      </c>
    </row>
    <row r="9" spans="1:16" x14ac:dyDescent="0.3">
      <c r="A9" s="2"/>
      <c r="B9" s="1"/>
      <c r="I9" s="38" t="s">
        <v>53</v>
      </c>
      <c r="M9" s="2"/>
      <c r="N9">
        <f t="shared" si="1"/>
        <v>0</v>
      </c>
    </row>
    <row r="10" spans="1:16" x14ac:dyDescent="0.3">
      <c r="A10" s="2">
        <f>A8</f>
        <v>3600</v>
      </c>
      <c r="B10" s="1" t="s">
        <v>66</v>
      </c>
      <c r="C10">
        <f>ROUND(A10/2000,2)</f>
        <v>1.8</v>
      </c>
      <c r="I10" s="38" t="s">
        <v>12</v>
      </c>
      <c r="M10" s="2"/>
      <c r="N10">
        <f t="shared" si="1"/>
        <v>0</v>
      </c>
    </row>
    <row r="11" spans="1:16" x14ac:dyDescent="0.3">
      <c r="A11" s="2">
        <f>N3</f>
        <v>119</v>
      </c>
      <c r="B11" s="1" t="s">
        <v>6</v>
      </c>
      <c r="I11" s="38" t="s">
        <v>54</v>
      </c>
      <c r="J11">
        <v>391</v>
      </c>
      <c r="K11" s="33">
        <f>K2-SUM(K3:K8)</f>
        <v>1238</v>
      </c>
      <c r="L11" s="33">
        <f>L2-SUM(L3:L8)</f>
        <v>707</v>
      </c>
      <c r="M11" s="2">
        <v>319</v>
      </c>
      <c r="N11">
        <f t="shared" si="1"/>
        <v>2655</v>
      </c>
    </row>
    <row r="12" spans="1:16" x14ac:dyDescent="0.3">
      <c r="A12" s="2">
        <f t="shared" ref="A12:A15" si="2">N4</f>
        <v>204</v>
      </c>
      <c r="B12" s="1" t="s">
        <v>28</v>
      </c>
      <c r="I12" s="38" t="s">
        <v>13</v>
      </c>
      <c r="J12" s="37">
        <f t="shared" ref="J12:L12" si="3">SUM(SUM(J3:J7)/SUM(J3:J11))</f>
        <v>9.7826086956521743E-2</v>
      </c>
      <c r="K12" s="37">
        <f t="shared" si="3"/>
        <v>0.18765432098765433</v>
      </c>
      <c r="L12" s="37">
        <f t="shared" si="3"/>
        <v>0.25624999999999998</v>
      </c>
      <c r="M12" s="37">
        <f>SUM(SUM(M3:M7)/SUM(M3:M11))</f>
        <v>0.19240506329113924</v>
      </c>
      <c r="N12" s="37">
        <f>SUM(SUM(N3:N7)/SUM(N3:N11))</f>
        <v>0.19805285118219751</v>
      </c>
    </row>
    <row r="13" spans="1:16" x14ac:dyDescent="0.3">
      <c r="A13" s="2">
        <f t="shared" si="2"/>
        <v>237</v>
      </c>
      <c r="B13" s="1" t="s">
        <v>25</v>
      </c>
    </row>
    <row r="14" spans="1:16" x14ac:dyDescent="0.3">
      <c r="A14" s="2">
        <f t="shared" si="2"/>
        <v>112</v>
      </c>
      <c r="B14" s="1" t="s">
        <v>27</v>
      </c>
    </row>
    <row r="15" spans="1:16" x14ac:dyDescent="0.3">
      <c r="A15" s="2">
        <f t="shared" si="2"/>
        <v>40</v>
      </c>
      <c r="B15" s="1" t="s">
        <v>80</v>
      </c>
    </row>
    <row r="16" spans="1:16" x14ac:dyDescent="0.3">
      <c r="A16" s="2"/>
      <c r="B16" s="1" t="s">
        <v>63</v>
      </c>
    </row>
    <row r="17" spans="1:5" x14ac:dyDescent="0.3">
      <c r="A17" s="2"/>
      <c r="B17" s="1" t="s">
        <v>53</v>
      </c>
    </row>
    <row r="18" spans="1:5" x14ac:dyDescent="0.3">
      <c r="A18" s="2"/>
      <c r="B18" s="1" t="s">
        <v>12</v>
      </c>
      <c r="C18">
        <f>ROUND(A18/2000,2)</f>
        <v>0</v>
      </c>
    </row>
    <row r="19" spans="1:5" x14ac:dyDescent="0.3">
      <c r="A19" s="2">
        <v>319</v>
      </c>
      <c r="B19" s="1" t="s">
        <v>54</v>
      </c>
    </row>
    <row r="20" spans="1:5" x14ac:dyDescent="0.3">
      <c r="A20" s="2"/>
      <c r="B20" s="1" t="s">
        <v>55</v>
      </c>
    </row>
    <row r="21" spans="1:5" x14ac:dyDescent="0.3">
      <c r="A21" s="2"/>
      <c r="B21" s="1" t="s">
        <v>56</v>
      </c>
    </row>
    <row r="22" spans="1:5" x14ac:dyDescent="0.3">
      <c r="A22" s="2">
        <f>SUM(A19:A21)</f>
        <v>319</v>
      </c>
      <c r="B22" s="1" t="s">
        <v>11</v>
      </c>
      <c r="C22">
        <f>ROUND(A22/2000,2)</f>
        <v>0.16</v>
      </c>
    </row>
    <row r="23" spans="1:5" x14ac:dyDescent="0.3">
      <c r="A23" s="3">
        <f>A18/A10</f>
        <v>0</v>
      </c>
      <c r="B23" s="1" t="s">
        <v>13</v>
      </c>
    </row>
    <row r="24" spans="1:5" x14ac:dyDescent="0.3">
      <c r="B24" s="1"/>
    </row>
    <row r="25" spans="1:5" x14ac:dyDescent="0.3">
      <c r="A25" s="2"/>
      <c r="B25" s="1" t="s">
        <v>18</v>
      </c>
    </row>
    <row r="26" spans="1:5" x14ac:dyDescent="0.3">
      <c r="A26" t="s">
        <v>71</v>
      </c>
    </row>
    <row r="27" spans="1:5" x14ac:dyDescent="0.3">
      <c r="B27" s="1" t="s">
        <v>6</v>
      </c>
      <c r="C27" s="2">
        <f>N3</f>
        <v>119</v>
      </c>
    </row>
    <row r="28" spans="1:5" x14ac:dyDescent="0.3">
      <c r="B28" s="1" t="s">
        <v>28</v>
      </c>
      <c r="C28" s="2">
        <f t="shared" ref="C28:C31" si="4">N4</f>
        <v>204</v>
      </c>
    </row>
    <row r="29" spans="1:5" x14ac:dyDescent="0.3">
      <c r="B29" s="1" t="s">
        <v>25</v>
      </c>
      <c r="C29" s="2">
        <f t="shared" si="4"/>
        <v>237</v>
      </c>
    </row>
    <row r="30" spans="1:5" x14ac:dyDescent="0.3">
      <c r="B30" s="1" t="s">
        <v>27</v>
      </c>
      <c r="C30" s="2">
        <f t="shared" si="4"/>
        <v>112</v>
      </c>
    </row>
    <row r="31" spans="1:5" x14ac:dyDescent="0.3">
      <c r="B31" s="1" t="s">
        <v>80</v>
      </c>
      <c r="C31" s="2">
        <f t="shared" si="4"/>
        <v>40</v>
      </c>
    </row>
    <row r="32" spans="1:5" x14ac:dyDescent="0.3">
      <c r="B32" s="1" t="s">
        <v>54</v>
      </c>
      <c r="C32" s="2">
        <f>N11</f>
        <v>2655</v>
      </c>
      <c r="E32" s="26"/>
    </row>
    <row r="34" spans="2:3" x14ac:dyDescent="0.3">
      <c r="B34" s="1" t="s">
        <v>72</v>
      </c>
      <c r="C34" s="33">
        <f>A18</f>
        <v>0</v>
      </c>
    </row>
    <row r="35" spans="2:3" x14ac:dyDescent="0.3">
      <c r="B35" s="1" t="s">
        <v>54</v>
      </c>
      <c r="C35" s="33">
        <f>A19</f>
        <v>319</v>
      </c>
    </row>
    <row r="37" spans="2:3" x14ac:dyDescent="0.3">
      <c r="B37" s="34" t="s">
        <v>31</v>
      </c>
    </row>
    <row r="38" spans="2:3" x14ac:dyDescent="0.3">
      <c r="B38" s="1" t="s">
        <v>6</v>
      </c>
      <c r="C38" s="2"/>
    </row>
    <row r="39" spans="2:3" x14ac:dyDescent="0.3">
      <c r="B39" s="1" t="s">
        <v>28</v>
      </c>
      <c r="C39" s="2"/>
    </row>
    <row r="40" spans="2:3" x14ac:dyDescent="0.3">
      <c r="B40" s="1" t="s">
        <v>25</v>
      </c>
      <c r="C40" s="2"/>
    </row>
    <row r="41" spans="2:3" x14ac:dyDescent="0.3">
      <c r="B41" s="1" t="s">
        <v>27</v>
      </c>
      <c r="C41" s="2"/>
    </row>
    <row r="42" spans="2:3" x14ac:dyDescent="0.3">
      <c r="B42" s="1" t="s">
        <v>54</v>
      </c>
      <c r="C42" s="2"/>
    </row>
  </sheetData>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40"/>
  <sheetViews>
    <sheetView workbookViewId="0">
      <selection activeCell="E34" sqref="E34"/>
    </sheetView>
  </sheetViews>
  <sheetFormatPr defaultRowHeight="14.4" x14ac:dyDescent="0.3"/>
  <cols>
    <col min="1" max="1" width="9.5546875" bestFit="1" customWidth="1"/>
    <col min="2" max="2" width="36" bestFit="1" customWidth="1"/>
  </cols>
  <sheetData>
    <row r="1" spans="1:3" x14ac:dyDescent="0.3">
      <c r="A1" t="s">
        <v>40</v>
      </c>
    </row>
    <row r="2" spans="1:3" x14ac:dyDescent="0.3">
      <c r="A2" t="s">
        <v>62</v>
      </c>
      <c r="C2" t="s">
        <v>23</v>
      </c>
    </row>
    <row r="3" spans="1:3" x14ac:dyDescent="0.3">
      <c r="A3" s="2">
        <f>ROUND($C3*2000,0)</f>
        <v>1380</v>
      </c>
      <c r="B3" t="s">
        <v>42</v>
      </c>
      <c r="C3">
        <v>0.69</v>
      </c>
    </row>
    <row r="4" spans="1:3" x14ac:dyDescent="0.3">
      <c r="A4" s="2">
        <f t="shared" ref="A4:A6" si="0">ROUND($C4*2000,0)</f>
        <v>600</v>
      </c>
      <c r="B4" t="s">
        <v>2</v>
      </c>
      <c r="C4" s="36">
        <v>0.3</v>
      </c>
    </row>
    <row r="5" spans="1:3" x14ac:dyDescent="0.3">
      <c r="A5" s="2">
        <f t="shared" si="0"/>
        <v>1000</v>
      </c>
      <c r="B5" t="s">
        <v>74</v>
      </c>
      <c r="C5" s="36">
        <v>0.5</v>
      </c>
    </row>
    <row r="6" spans="1:3" x14ac:dyDescent="0.3">
      <c r="A6" s="2">
        <f t="shared" si="0"/>
        <v>820</v>
      </c>
      <c r="B6" s="24" t="s">
        <v>4</v>
      </c>
      <c r="C6">
        <v>0.41</v>
      </c>
    </row>
    <row r="8" spans="1:3" x14ac:dyDescent="0.3">
      <c r="A8" s="2">
        <f>SUM(A3:A6)</f>
        <v>3800</v>
      </c>
      <c r="B8" s="1" t="s">
        <v>67</v>
      </c>
      <c r="C8">
        <f>SUM(C3:C6)</f>
        <v>1.9</v>
      </c>
    </row>
    <row r="9" spans="1:3" x14ac:dyDescent="0.3">
      <c r="A9" s="2"/>
      <c r="B9" s="1"/>
    </row>
    <row r="10" spans="1:3" x14ac:dyDescent="0.3">
      <c r="A10" s="2">
        <v>3800</v>
      </c>
      <c r="B10" s="1" t="s">
        <v>66</v>
      </c>
      <c r="C10">
        <f>ROUND(A10/2000,2)</f>
        <v>1.9</v>
      </c>
    </row>
    <row r="11" spans="1:3" x14ac:dyDescent="0.3">
      <c r="A11" s="2"/>
      <c r="B11" s="1" t="s">
        <v>6</v>
      </c>
    </row>
    <row r="12" spans="1:3" x14ac:dyDescent="0.3">
      <c r="A12" s="2"/>
      <c r="B12" s="1" t="s">
        <v>28</v>
      </c>
    </row>
    <row r="13" spans="1:3" x14ac:dyDescent="0.3">
      <c r="A13" s="2"/>
      <c r="B13" s="1" t="s">
        <v>25</v>
      </c>
    </row>
    <row r="14" spans="1:3" x14ac:dyDescent="0.3">
      <c r="A14" s="2"/>
      <c r="B14" s="1" t="s">
        <v>27</v>
      </c>
    </row>
    <row r="15" spans="1:3" x14ac:dyDescent="0.3">
      <c r="A15" s="2"/>
      <c r="B15" s="1" t="s">
        <v>63</v>
      </c>
    </row>
    <row r="16" spans="1:3" x14ac:dyDescent="0.3">
      <c r="A16" s="2"/>
      <c r="B16" s="1" t="s">
        <v>53</v>
      </c>
    </row>
    <row r="17" spans="1:5" x14ac:dyDescent="0.3">
      <c r="A17" s="2">
        <v>3117</v>
      </c>
      <c r="B17" s="1" t="s">
        <v>12</v>
      </c>
      <c r="C17">
        <f>ROUND(A17/2000,2)</f>
        <v>1.56</v>
      </c>
    </row>
    <row r="18" spans="1:5" x14ac:dyDescent="0.3">
      <c r="A18" s="2">
        <f>A10-A17</f>
        <v>683</v>
      </c>
      <c r="B18" s="1" t="s">
        <v>54</v>
      </c>
    </row>
    <row r="19" spans="1:5" x14ac:dyDescent="0.3">
      <c r="A19" s="2"/>
      <c r="B19" s="1" t="s">
        <v>55</v>
      </c>
    </row>
    <row r="20" spans="1:5" x14ac:dyDescent="0.3">
      <c r="A20" s="2"/>
      <c r="B20" s="1" t="s">
        <v>56</v>
      </c>
    </row>
    <row r="21" spans="1:5" x14ac:dyDescent="0.3">
      <c r="A21" s="2">
        <f>SUM(A18:A20)</f>
        <v>683</v>
      </c>
      <c r="B21" s="1" t="s">
        <v>11</v>
      </c>
      <c r="C21">
        <f>ROUND(A21/2000,2)</f>
        <v>0.34</v>
      </c>
    </row>
    <row r="22" spans="1:5" x14ac:dyDescent="0.3">
      <c r="A22" s="3">
        <f>A17/A10</f>
        <v>0.82026315789473681</v>
      </c>
      <c r="B22" s="1" t="s">
        <v>13</v>
      </c>
    </row>
    <row r="23" spans="1:5" x14ac:dyDescent="0.3">
      <c r="B23" s="1"/>
    </row>
    <row r="24" spans="1:5" x14ac:dyDescent="0.3">
      <c r="A24" s="2"/>
      <c r="B24" s="1" t="s">
        <v>18</v>
      </c>
    </row>
    <row r="25" spans="1:5" x14ac:dyDescent="0.3">
      <c r="A25" t="s">
        <v>71</v>
      </c>
    </row>
    <row r="26" spans="1:5" x14ac:dyDescent="0.3">
      <c r="B26" s="1" t="s">
        <v>6</v>
      </c>
      <c r="C26" s="2"/>
    </row>
    <row r="27" spans="1:5" x14ac:dyDescent="0.3">
      <c r="B27" s="1" t="s">
        <v>28</v>
      </c>
      <c r="C27" s="2"/>
    </row>
    <row r="28" spans="1:5" x14ac:dyDescent="0.3">
      <c r="B28" s="1" t="s">
        <v>25</v>
      </c>
      <c r="C28" s="2"/>
    </row>
    <row r="29" spans="1:5" x14ac:dyDescent="0.3">
      <c r="B29" s="1" t="s">
        <v>27</v>
      </c>
      <c r="C29" s="2"/>
    </row>
    <row r="30" spans="1:5" x14ac:dyDescent="0.3">
      <c r="B30" s="1" t="s">
        <v>54</v>
      </c>
      <c r="C30" s="2"/>
      <c r="E30" s="26"/>
    </row>
    <row r="32" spans="1:5" x14ac:dyDescent="0.3">
      <c r="B32" s="1" t="s">
        <v>72</v>
      </c>
      <c r="C32" s="33">
        <f>A17</f>
        <v>3117</v>
      </c>
    </row>
    <row r="33" spans="2:3" x14ac:dyDescent="0.3">
      <c r="B33" s="1" t="s">
        <v>54</v>
      </c>
      <c r="C33" s="33">
        <f>A18</f>
        <v>683</v>
      </c>
    </row>
    <row r="35" spans="2:3" x14ac:dyDescent="0.3">
      <c r="B35" s="34" t="s">
        <v>31</v>
      </c>
    </row>
    <row r="36" spans="2:3" x14ac:dyDescent="0.3">
      <c r="B36" s="1" t="s">
        <v>6</v>
      </c>
      <c r="C36" s="2"/>
    </row>
    <row r="37" spans="2:3" x14ac:dyDescent="0.3">
      <c r="B37" s="1" t="s">
        <v>28</v>
      </c>
      <c r="C37" s="2"/>
    </row>
    <row r="38" spans="2:3" x14ac:dyDescent="0.3">
      <c r="B38" s="1" t="s">
        <v>25</v>
      </c>
      <c r="C38" s="2"/>
    </row>
    <row r="39" spans="2:3" x14ac:dyDescent="0.3">
      <c r="B39" s="1" t="s">
        <v>27</v>
      </c>
      <c r="C39" s="2"/>
    </row>
    <row r="40" spans="2:3" x14ac:dyDescent="0.3">
      <c r="B40" s="1" t="s">
        <v>54</v>
      </c>
      <c r="C40" s="2"/>
    </row>
  </sheetData>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40"/>
  <sheetViews>
    <sheetView workbookViewId="0">
      <selection activeCell="D17" sqref="D17"/>
    </sheetView>
  </sheetViews>
  <sheetFormatPr defaultRowHeight="14.4" x14ac:dyDescent="0.3"/>
  <cols>
    <col min="1" max="1" width="9.5546875" bestFit="1" customWidth="1"/>
    <col min="2" max="2" width="36" bestFit="1" customWidth="1"/>
  </cols>
  <sheetData>
    <row r="1" spans="1:16" x14ac:dyDescent="0.3">
      <c r="A1" t="s">
        <v>40</v>
      </c>
      <c r="F1" s="28" t="s">
        <v>64</v>
      </c>
      <c r="G1" s="28"/>
      <c r="H1" s="28"/>
    </row>
    <row r="2" spans="1:16" x14ac:dyDescent="0.3">
      <c r="A2" t="s">
        <v>62</v>
      </c>
      <c r="C2" t="s">
        <v>23</v>
      </c>
      <c r="F2" s="30" t="s">
        <v>65</v>
      </c>
      <c r="G2" s="28"/>
      <c r="H2" s="28"/>
    </row>
    <row r="3" spans="1:16" ht="15.6" x14ac:dyDescent="0.3">
      <c r="A3">
        <f>C3*2000</f>
        <v>300</v>
      </c>
      <c r="B3" t="s">
        <v>42</v>
      </c>
      <c r="C3">
        <v>0.15</v>
      </c>
      <c r="F3" s="30"/>
      <c r="G3" s="28"/>
      <c r="H3" s="29"/>
    </row>
    <row r="4" spans="1:16" ht="15.6" x14ac:dyDescent="0.3">
      <c r="A4" s="2">
        <f>C4*2000</f>
        <v>2040</v>
      </c>
      <c r="B4" t="s">
        <v>2</v>
      </c>
      <c r="C4">
        <v>1.02</v>
      </c>
      <c r="F4" s="30" t="s">
        <v>58</v>
      </c>
      <c r="G4" s="28"/>
      <c r="H4" s="29"/>
    </row>
    <row r="5" spans="1:16" ht="15.6" x14ac:dyDescent="0.3">
      <c r="A5" s="2">
        <v>2440</v>
      </c>
      <c r="B5" t="s">
        <v>41</v>
      </c>
      <c r="C5">
        <f t="shared" ref="C5:C6" si="0">A5/2000</f>
        <v>1.22</v>
      </c>
      <c r="F5" s="30" t="s">
        <v>59</v>
      </c>
      <c r="G5" s="28"/>
      <c r="H5" s="29"/>
    </row>
    <row r="6" spans="1:16" ht="15.6" x14ac:dyDescent="0.3">
      <c r="A6" s="25">
        <v>840</v>
      </c>
      <c r="B6" s="24" t="s">
        <v>4</v>
      </c>
      <c r="C6">
        <f t="shared" si="0"/>
        <v>0.42</v>
      </c>
      <c r="F6" s="30" t="s">
        <v>60</v>
      </c>
      <c r="G6" s="29"/>
      <c r="H6" s="28"/>
    </row>
    <row r="7" spans="1:16" x14ac:dyDescent="0.3">
      <c r="F7" s="30" t="s">
        <v>61</v>
      </c>
      <c r="G7" s="28"/>
      <c r="H7" s="28"/>
    </row>
    <row r="8" spans="1:16" x14ac:dyDescent="0.3">
      <c r="A8" s="2">
        <f>SUM(A3:A6)</f>
        <v>5620</v>
      </c>
      <c r="B8" s="1" t="s">
        <v>67</v>
      </c>
      <c r="C8">
        <f>SUM(C3:C6)</f>
        <v>2.8099999999999996</v>
      </c>
    </row>
    <row r="9" spans="1:16" x14ac:dyDescent="0.3">
      <c r="A9" s="2"/>
      <c r="B9" s="1"/>
      <c r="G9" s="31" t="s">
        <v>68</v>
      </c>
      <c r="H9" s="31"/>
      <c r="I9" s="31"/>
      <c r="J9" s="31"/>
      <c r="K9" s="31"/>
      <c r="L9" s="31"/>
      <c r="M9" s="31"/>
      <c r="N9" s="31"/>
      <c r="O9" s="31"/>
    </row>
    <row r="10" spans="1:16" x14ac:dyDescent="0.3">
      <c r="A10" s="2">
        <f>A8</f>
        <v>5620</v>
      </c>
      <c r="B10" s="1" t="s">
        <v>66</v>
      </c>
      <c r="C10">
        <f>ROUND(A10/2000,2)</f>
        <v>2.81</v>
      </c>
      <c r="D10" s="32" t="s">
        <v>70</v>
      </c>
      <c r="E10" s="32"/>
      <c r="F10" s="32"/>
      <c r="G10" s="31" t="s">
        <v>69</v>
      </c>
      <c r="H10" s="31"/>
      <c r="I10" s="31"/>
      <c r="J10" s="31"/>
      <c r="K10" s="31"/>
      <c r="L10" s="31"/>
      <c r="M10" s="31"/>
      <c r="N10" s="31"/>
      <c r="O10" s="31"/>
      <c r="P10" s="31"/>
    </row>
    <row r="11" spans="1:16" x14ac:dyDescent="0.3">
      <c r="A11" s="2">
        <v>60</v>
      </c>
      <c r="B11" s="1" t="s">
        <v>6</v>
      </c>
    </row>
    <row r="12" spans="1:16" x14ac:dyDescent="0.3">
      <c r="A12" s="2">
        <v>354</v>
      </c>
      <c r="B12" s="1" t="s">
        <v>28</v>
      </c>
    </row>
    <row r="13" spans="1:16" x14ac:dyDescent="0.3">
      <c r="A13" s="2">
        <v>2143</v>
      </c>
      <c r="B13" s="1" t="s">
        <v>25</v>
      </c>
    </row>
    <row r="14" spans="1:16" x14ac:dyDescent="0.3">
      <c r="A14" s="2">
        <v>416</v>
      </c>
      <c r="B14" s="1" t="s">
        <v>27</v>
      </c>
    </row>
    <row r="15" spans="1:16" x14ac:dyDescent="0.3">
      <c r="A15" s="2"/>
      <c r="B15" s="1" t="s">
        <v>63</v>
      </c>
    </row>
    <row r="16" spans="1:16" x14ac:dyDescent="0.3">
      <c r="A16" s="2"/>
      <c r="B16" s="1" t="s">
        <v>53</v>
      </c>
    </row>
    <row r="17" spans="1:5" x14ac:dyDescent="0.3">
      <c r="A17" s="2">
        <f>SUM(A11:A16)</f>
        <v>2973</v>
      </c>
      <c r="B17" s="1" t="s">
        <v>12</v>
      </c>
      <c r="C17">
        <f>ROUND(A17/2000,2)</f>
        <v>1.49</v>
      </c>
    </row>
    <row r="18" spans="1:5" x14ac:dyDescent="0.3">
      <c r="A18" s="2">
        <f>A10-A17</f>
        <v>2647</v>
      </c>
      <c r="B18" s="1" t="s">
        <v>54</v>
      </c>
    </row>
    <row r="19" spans="1:5" x14ac:dyDescent="0.3">
      <c r="A19" s="2"/>
      <c r="B19" s="1" t="s">
        <v>55</v>
      </c>
    </row>
    <row r="20" spans="1:5" x14ac:dyDescent="0.3">
      <c r="A20" s="2"/>
      <c r="B20" s="1" t="s">
        <v>56</v>
      </c>
    </row>
    <row r="21" spans="1:5" x14ac:dyDescent="0.3">
      <c r="A21" s="2">
        <f>SUM(A18:A20)</f>
        <v>2647</v>
      </c>
      <c r="B21" s="1" t="s">
        <v>11</v>
      </c>
      <c r="C21">
        <f>ROUND(A21/2000,2)</f>
        <v>1.32</v>
      </c>
    </row>
    <row r="22" spans="1:5" x14ac:dyDescent="0.3">
      <c r="A22" s="3">
        <f>A17/A10</f>
        <v>0.52900355871886118</v>
      </c>
      <c r="B22" s="1" t="s">
        <v>13</v>
      </c>
    </row>
    <row r="23" spans="1:5" x14ac:dyDescent="0.3">
      <c r="B23" s="1"/>
    </row>
    <row r="24" spans="1:5" x14ac:dyDescent="0.3">
      <c r="A24" s="2">
        <v>401</v>
      </c>
      <c r="B24" s="1" t="s">
        <v>18</v>
      </c>
    </row>
    <row r="25" spans="1:5" x14ac:dyDescent="0.3">
      <c r="A25" t="s">
        <v>71</v>
      </c>
    </row>
    <row r="26" spans="1:5" x14ac:dyDescent="0.3">
      <c r="B26" s="1" t="s">
        <v>6</v>
      </c>
      <c r="C26" s="2">
        <v>60</v>
      </c>
    </row>
    <row r="27" spans="1:5" x14ac:dyDescent="0.3">
      <c r="B27" s="1" t="s">
        <v>28</v>
      </c>
      <c r="C27" s="2">
        <v>354</v>
      </c>
    </row>
    <row r="28" spans="1:5" x14ac:dyDescent="0.3">
      <c r="B28" s="1" t="s">
        <v>25</v>
      </c>
      <c r="C28" s="2">
        <v>2143</v>
      </c>
    </row>
    <row r="29" spans="1:5" x14ac:dyDescent="0.3">
      <c r="B29" s="1" t="s">
        <v>27</v>
      </c>
      <c r="C29" s="2">
        <v>416</v>
      </c>
    </row>
    <row r="30" spans="1:5" x14ac:dyDescent="0.3">
      <c r="B30" s="1" t="s">
        <v>54</v>
      </c>
      <c r="C30" s="2">
        <v>2647</v>
      </c>
      <c r="E30" s="26"/>
    </row>
    <row r="32" spans="1:5" x14ac:dyDescent="0.3">
      <c r="B32" s="1" t="s">
        <v>72</v>
      </c>
      <c r="C32" s="33">
        <f>SUM(A11:A16)</f>
        <v>2973</v>
      </c>
    </row>
    <row r="33" spans="2:3" x14ac:dyDescent="0.3">
      <c r="B33" s="1" t="s">
        <v>54</v>
      </c>
      <c r="C33" s="33">
        <f>C30</f>
        <v>2647</v>
      </c>
    </row>
    <row r="35" spans="2:3" x14ac:dyDescent="0.3">
      <c r="B35" s="34" t="s">
        <v>31</v>
      </c>
    </row>
    <row r="36" spans="2:3" x14ac:dyDescent="0.3">
      <c r="B36" s="1" t="s">
        <v>6</v>
      </c>
      <c r="C36" s="2">
        <v>60</v>
      </c>
    </row>
    <row r="37" spans="2:3" x14ac:dyDescent="0.3">
      <c r="B37" s="1" t="s">
        <v>28</v>
      </c>
      <c r="C37" s="2">
        <v>354</v>
      </c>
    </row>
    <row r="38" spans="2:3" x14ac:dyDescent="0.3">
      <c r="B38" s="1" t="s">
        <v>25</v>
      </c>
      <c r="C38" s="2">
        <v>2143</v>
      </c>
    </row>
    <row r="39" spans="2:3" x14ac:dyDescent="0.3">
      <c r="B39" s="1" t="s">
        <v>27</v>
      </c>
      <c r="C39" s="2">
        <v>416</v>
      </c>
    </row>
    <row r="40" spans="2:3" x14ac:dyDescent="0.3">
      <c r="B40" s="1" t="s">
        <v>54</v>
      </c>
      <c r="C40" s="2">
        <v>300</v>
      </c>
    </row>
  </sheetData>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DD0C2-6064-4D5D-9A58-40712351EC26}">
  <dimension ref="A1"/>
  <sheetViews>
    <sheetView workbookViewId="0"/>
  </sheetViews>
  <sheetFormatPr defaultRowHeight="14.4" x14ac:dyDescent="0.3"/>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30"/>
  <sheetViews>
    <sheetView workbookViewId="0">
      <selection activeCell="G14" sqref="G14"/>
    </sheetView>
  </sheetViews>
  <sheetFormatPr defaultRowHeight="14.4" x14ac:dyDescent="0.3"/>
  <cols>
    <col min="1" max="1" width="9.5546875" bestFit="1" customWidth="1"/>
    <col min="2" max="2" width="36" bestFit="1" customWidth="1"/>
  </cols>
  <sheetData>
    <row r="1" spans="1:9" x14ac:dyDescent="0.3">
      <c r="A1" t="s">
        <v>40</v>
      </c>
      <c r="H1" s="28" t="s">
        <v>51</v>
      </c>
      <c r="I1" s="28"/>
    </row>
    <row r="2" spans="1:9" x14ac:dyDescent="0.3">
      <c r="A2" t="s">
        <v>62</v>
      </c>
      <c r="C2" t="s">
        <v>23</v>
      </c>
      <c r="H2" s="27" t="s">
        <v>43</v>
      </c>
      <c r="I2" s="28"/>
    </row>
    <row r="3" spans="1:9" ht="15.6" x14ac:dyDescent="0.3">
      <c r="A3">
        <f>2000*0.29</f>
        <v>580</v>
      </c>
      <c r="B3" t="s">
        <v>42</v>
      </c>
      <c r="C3">
        <f>A3/2000</f>
        <v>0.28999999999999998</v>
      </c>
      <c r="H3" s="27" t="s">
        <v>44</v>
      </c>
      <c r="I3" s="29"/>
    </row>
    <row r="4" spans="1:9" ht="15.6" x14ac:dyDescent="0.3">
      <c r="A4" s="2">
        <f>0.88*2000</f>
        <v>1760</v>
      </c>
      <c r="B4" t="s">
        <v>2</v>
      </c>
      <c r="C4">
        <f t="shared" ref="C4:C6" si="0">A4/2000</f>
        <v>0.88</v>
      </c>
      <c r="H4" s="27" t="s">
        <v>45</v>
      </c>
      <c r="I4" s="29"/>
    </row>
    <row r="5" spans="1:9" ht="15.6" x14ac:dyDescent="0.3">
      <c r="A5" s="2">
        <v>2040</v>
      </c>
      <c r="B5" t="s">
        <v>41</v>
      </c>
      <c r="C5">
        <f t="shared" si="0"/>
        <v>1.02</v>
      </c>
      <c r="H5" s="27" t="s">
        <v>46</v>
      </c>
      <c r="I5" s="29"/>
    </row>
    <row r="6" spans="1:9" ht="15.6" x14ac:dyDescent="0.3">
      <c r="A6" s="25">
        <f>0.92*2000</f>
        <v>1840</v>
      </c>
      <c r="B6" s="24" t="s">
        <v>4</v>
      </c>
      <c r="C6">
        <f t="shared" si="0"/>
        <v>0.92</v>
      </c>
      <c r="G6" s="8"/>
      <c r="H6" s="27" t="s">
        <v>47</v>
      </c>
      <c r="I6" s="29"/>
    </row>
    <row r="7" spans="1:9" x14ac:dyDescent="0.3">
      <c r="H7" s="27" t="s">
        <v>48</v>
      </c>
      <c r="I7" s="28"/>
    </row>
    <row r="8" spans="1:9" x14ac:dyDescent="0.3">
      <c r="A8" s="2">
        <f>SUM(A3:A6)</f>
        <v>6220</v>
      </c>
      <c r="B8" s="1" t="s">
        <v>57</v>
      </c>
      <c r="C8" s="35">
        <f>A8/2000</f>
        <v>3.11</v>
      </c>
      <c r="H8" s="27" t="s">
        <v>49</v>
      </c>
      <c r="I8" s="28"/>
    </row>
    <row r="9" spans="1:9" x14ac:dyDescent="0.3">
      <c r="A9" s="2"/>
      <c r="B9" s="1"/>
      <c r="H9" s="27" t="s">
        <v>50</v>
      </c>
      <c r="I9" s="28"/>
    </row>
    <row r="10" spans="1:9" x14ac:dyDescent="0.3">
      <c r="A10" s="2">
        <f>SUM(A5:A6)</f>
        <v>3880</v>
      </c>
      <c r="B10" s="1" t="s">
        <v>52</v>
      </c>
      <c r="C10" t="s">
        <v>73</v>
      </c>
    </row>
    <row r="11" spans="1:9" x14ac:dyDescent="0.3">
      <c r="A11" s="2">
        <v>180</v>
      </c>
      <c r="B11" s="1" t="s">
        <v>6</v>
      </c>
    </row>
    <row r="12" spans="1:9" x14ac:dyDescent="0.3">
      <c r="A12" s="2">
        <v>180</v>
      </c>
      <c r="B12" t="s">
        <v>7</v>
      </c>
    </row>
    <row r="13" spans="1:9" x14ac:dyDescent="0.3">
      <c r="A13" s="2">
        <v>1260</v>
      </c>
      <c r="B13" t="s">
        <v>8</v>
      </c>
    </row>
    <row r="14" spans="1:9" x14ac:dyDescent="0.3">
      <c r="A14" s="2">
        <v>160</v>
      </c>
      <c r="B14" t="s">
        <v>9</v>
      </c>
    </row>
    <row r="15" spans="1:9" x14ac:dyDescent="0.3">
      <c r="A15" s="2"/>
      <c r="B15" t="s">
        <v>10</v>
      </c>
    </row>
    <row r="16" spans="1:9" x14ac:dyDescent="0.3">
      <c r="A16" s="2">
        <v>240</v>
      </c>
      <c r="B16" t="s">
        <v>53</v>
      </c>
    </row>
    <row r="17" spans="1:5" x14ac:dyDescent="0.3">
      <c r="A17" s="2">
        <f>SUM(A11:A16)</f>
        <v>2020</v>
      </c>
      <c r="B17" t="s">
        <v>12</v>
      </c>
    </row>
    <row r="18" spans="1:5" x14ac:dyDescent="0.3">
      <c r="A18" s="2">
        <v>720</v>
      </c>
      <c r="B18" t="s">
        <v>54</v>
      </c>
    </row>
    <row r="19" spans="1:5" x14ac:dyDescent="0.3">
      <c r="A19" s="2">
        <v>1120</v>
      </c>
      <c r="B19" t="s">
        <v>55</v>
      </c>
    </row>
    <row r="20" spans="1:5" x14ac:dyDescent="0.3">
      <c r="A20" s="2">
        <v>20</v>
      </c>
      <c r="B20" t="s">
        <v>56</v>
      </c>
    </row>
    <row r="21" spans="1:5" x14ac:dyDescent="0.3">
      <c r="A21" s="2">
        <f>SUM(A18:A20)</f>
        <v>1860</v>
      </c>
      <c r="B21" s="1" t="s">
        <v>11</v>
      </c>
    </row>
    <row r="22" spans="1:5" x14ac:dyDescent="0.3">
      <c r="A22" s="3">
        <f>A17/A10</f>
        <v>0.52061855670103097</v>
      </c>
      <c r="B22" t="s">
        <v>13</v>
      </c>
    </row>
    <row r="24" spans="1:5" x14ac:dyDescent="0.3">
      <c r="A24" s="2">
        <v>355</v>
      </c>
      <c r="B24" t="s">
        <v>18</v>
      </c>
    </row>
    <row r="30" spans="1:5" x14ac:dyDescent="0.3">
      <c r="E30" s="26"/>
    </row>
  </sheetData>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H22"/>
  <sheetViews>
    <sheetView topLeftCell="A13" workbookViewId="0">
      <selection activeCell="A6" sqref="A6"/>
    </sheetView>
  </sheetViews>
  <sheetFormatPr defaultRowHeight="14.4" x14ac:dyDescent="0.3"/>
  <cols>
    <col min="2" max="2" width="37.109375" bestFit="1" customWidth="1"/>
    <col min="6" max="6" width="9.6640625" bestFit="1" customWidth="1"/>
  </cols>
  <sheetData>
    <row r="2" spans="1:8" ht="15.6" x14ac:dyDescent="0.3">
      <c r="A2" s="17" t="s">
        <v>23</v>
      </c>
      <c r="B2" s="10"/>
      <c r="D2" s="10"/>
      <c r="E2" s="10"/>
      <c r="F2" s="10"/>
      <c r="G2" s="10"/>
      <c r="H2" s="10"/>
    </row>
    <row r="3" spans="1:8" ht="15.6" x14ac:dyDescent="0.3">
      <c r="A3" s="10">
        <v>1.26</v>
      </c>
      <c r="B3" s="8" t="s">
        <v>20</v>
      </c>
      <c r="D3" s="8"/>
      <c r="E3" s="10"/>
      <c r="F3" s="10"/>
      <c r="G3" s="10"/>
      <c r="H3" s="10"/>
    </row>
    <row r="4" spans="1:8" ht="15.6" x14ac:dyDescent="0.3">
      <c r="A4" s="10">
        <v>0.94</v>
      </c>
      <c r="B4" s="8" t="s">
        <v>21</v>
      </c>
      <c r="D4" s="8"/>
      <c r="E4" s="10"/>
      <c r="F4" s="10"/>
      <c r="G4" s="10"/>
      <c r="H4" s="10"/>
    </row>
    <row r="5" spans="1:8" ht="15.6" x14ac:dyDescent="0.3">
      <c r="A5" s="14">
        <f>SUM(A3:A4)</f>
        <v>2.2000000000000002</v>
      </c>
      <c r="B5" s="16" t="s">
        <v>31</v>
      </c>
      <c r="D5" s="10"/>
      <c r="E5" s="10"/>
      <c r="F5" s="9"/>
      <c r="G5" s="10"/>
      <c r="H5" s="9"/>
    </row>
    <row r="6" spans="1:8" ht="15.6" x14ac:dyDescent="0.3">
      <c r="A6">
        <v>1.1499999999999999</v>
      </c>
      <c r="B6" s="8" t="s">
        <v>22</v>
      </c>
      <c r="C6" s="10"/>
      <c r="D6" s="10"/>
      <c r="E6" s="10"/>
      <c r="F6" s="10"/>
      <c r="G6" s="10"/>
      <c r="H6" s="10"/>
    </row>
    <row r="7" spans="1:8" ht="15.6" x14ac:dyDescent="0.3">
      <c r="A7" s="11">
        <f>SUM(A5:A6)</f>
        <v>3.35</v>
      </c>
      <c r="B7" s="14" t="s">
        <v>38</v>
      </c>
      <c r="C7" s="10"/>
      <c r="D7" s="10"/>
      <c r="E7" s="10"/>
      <c r="F7" s="10"/>
      <c r="G7" s="10"/>
      <c r="H7" s="10"/>
    </row>
    <row r="8" spans="1:8" ht="15.6" x14ac:dyDescent="0.3">
      <c r="B8" s="10"/>
      <c r="C8" s="10"/>
      <c r="D8" s="10"/>
      <c r="E8" s="10"/>
      <c r="F8" s="10"/>
      <c r="G8" s="10"/>
      <c r="H8" s="10"/>
    </row>
    <row r="9" spans="1:8" ht="15.6" x14ac:dyDescent="0.3">
      <c r="B9" s="10"/>
      <c r="C9" s="10"/>
      <c r="D9" s="10"/>
      <c r="E9" s="10"/>
      <c r="F9" s="10"/>
      <c r="G9" s="10"/>
      <c r="H9" s="10"/>
    </row>
    <row r="10" spans="1:8" ht="15.6" x14ac:dyDescent="0.3">
      <c r="A10" s="17" t="s">
        <v>30</v>
      </c>
      <c r="B10" s="15" t="s">
        <v>24</v>
      </c>
      <c r="D10" s="10"/>
      <c r="E10" s="10"/>
      <c r="F10" s="10"/>
      <c r="G10" s="10"/>
      <c r="H10" s="10"/>
    </row>
    <row r="11" spans="1:8" ht="15.6" x14ac:dyDescent="0.3">
      <c r="A11" s="12">
        <v>1211</v>
      </c>
      <c r="B11" s="8" t="s">
        <v>25</v>
      </c>
      <c r="C11" s="3">
        <f>ROUND(A11/$A$16,2)</f>
        <v>0.56999999999999995</v>
      </c>
      <c r="D11" s="10"/>
      <c r="E11" s="10"/>
      <c r="F11" s="10"/>
      <c r="G11" s="10"/>
      <c r="H11" s="10"/>
    </row>
    <row r="12" spans="1:8" ht="15.6" x14ac:dyDescent="0.3">
      <c r="A12" s="12">
        <v>25</v>
      </c>
      <c r="B12" s="8" t="s">
        <v>26</v>
      </c>
      <c r="C12" s="3">
        <f>ROUND(A12/$A$16,2)</f>
        <v>0.01</v>
      </c>
      <c r="D12" s="10"/>
      <c r="E12" s="10"/>
      <c r="F12" s="10"/>
      <c r="G12" s="10"/>
      <c r="H12" s="10"/>
    </row>
    <row r="13" spans="1:8" ht="15.6" x14ac:dyDescent="0.3">
      <c r="A13" s="12">
        <v>101</v>
      </c>
      <c r="B13" s="8" t="s">
        <v>27</v>
      </c>
      <c r="C13" s="3">
        <f t="shared" ref="C13:C15" si="0">ROUND(A13/$A$16,2)</f>
        <v>0.05</v>
      </c>
      <c r="D13" s="10"/>
      <c r="E13" s="10"/>
      <c r="F13" s="10"/>
      <c r="G13" s="10"/>
      <c r="H13" s="10"/>
    </row>
    <row r="14" spans="1:8" ht="15.6" x14ac:dyDescent="0.3">
      <c r="A14" s="12">
        <v>534</v>
      </c>
      <c r="B14" s="8" t="s">
        <v>28</v>
      </c>
      <c r="C14" s="3">
        <f t="shared" si="0"/>
        <v>0.25</v>
      </c>
      <c r="D14" s="10"/>
      <c r="E14" s="10"/>
      <c r="F14" s="10"/>
      <c r="G14" s="10"/>
      <c r="H14" s="10"/>
    </row>
    <row r="15" spans="1:8" ht="15.6" x14ac:dyDescent="0.3">
      <c r="A15" s="12">
        <v>269</v>
      </c>
      <c r="B15" s="8" t="s">
        <v>29</v>
      </c>
      <c r="C15" s="3">
        <f t="shared" si="0"/>
        <v>0.13</v>
      </c>
      <c r="D15" s="10"/>
      <c r="E15" s="10"/>
      <c r="F15" s="10"/>
      <c r="G15" s="10"/>
      <c r="H15" s="10"/>
    </row>
    <row r="16" spans="1:8" ht="15.6" x14ac:dyDescent="0.3">
      <c r="A16" s="13">
        <f>SUM(A11:A15)</f>
        <v>2140</v>
      </c>
      <c r="B16" s="18" t="s">
        <v>33</v>
      </c>
      <c r="C16" s="23"/>
    </row>
    <row r="18" spans="1:4" ht="15.6" x14ac:dyDescent="0.3">
      <c r="A18" s="19">
        <v>1.28</v>
      </c>
      <c r="B18" s="8" t="s">
        <v>37</v>
      </c>
      <c r="D18" s="22"/>
    </row>
    <row r="19" spans="1:4" x14ac:dyDescent="0.3">
      <c r="B19" s="20" t="s">
        <v>32</v>
      </c>
    </row>
    <row r="20" spans="1:4" x14ac:dyDescent="0.3">
      <c r="A20" s="13">
        <f>(A5-A18)*2000</f>
        <v>1840.0000000000002</v>
      </c>
      <c r="B20" s="11" t="s">
        <v>35</v>
      </c>
    </row>
    <row r="21" spans="1:4" x14ac:dyDescent="0.3">
      <c r="A21" s="13"/>
      <c r="B21" s="20" t="s">
        <v>39</v>
      </c>
    </row>
    <row r="22" spans="1:4" x14ac:dyDescent="0.3">
      <c r="A22" s="21">
        <f>A18/A5</f>
        <v>0.58181818181818179</v>
      </c>
      <c r="B22" t="s">
        <v>34</v>
      </c>
    </row>
  </sheetData>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17"/>
  <sheetViews>
    <sheetView workbookViewId="0">
      <selection activeCell="E10" sqref="E10"/>
    </sheetView>
  </sheetViews>
  <sheetFormatPr defaultRowHeight="14.4" x14ac:dyDescent="0.3"/>
  <cols>
    <col min="1" max="1" width="9.5546875" bestFit="1" customWidth="1"/>
  </cols>
  <sheetData>
    <row r="1" spans="1:6" x14ac:dyDescent="0.3">
      <c r="A1" t="s">
        <v>1</v>
      </c>
    </row>
    <row r="3" spans="1:6" x14ac:dyDescent="0.3">
      <c r="A3" s="2">
        <v>4180</v>
      </c>
      <c r="B3" t="s">
        <v>2</v>
      </c>
    </row>
    <row r="4" spans="1:6" x14ac:dyDescent="0.3">
      <c r="A4" s="2">
        <v>1440</v>
      </c>
      <c r="B4" t="s">
        <v>3</v>
      </c>
    </row>
    <row r="5" spans="1:6" x14ac:dyDescent="0.3">
      <c r="A5" s="4">
        <f>A7-SUM(A3:A4)</f>
        <v>1180</v>
      </c>
      <c r="B5" s="5" t="s">
        <v>4</v>
      </c>
      <c r="F5" s="6" t="s">
        <v>14</v>
      </c>
    </row>
    <row r="7" spans="1:6" x14ac:dyDescent="0.3">
      <c r="A7" s="2">
        <v>6800</v>
      </c>
      <c r="B7" s="1" t="s">
        <v>5</v>
      </c>
    </row>
    <row r="8" spans="1:6" x14ac:dyDescent="0.3">
      <c r="A8" s="2">
        <v>399</v>
      </c>
      <c r="B8" s="1" t="s">
        <v>6</v>
      </c>
    </row>
    <row r="9" spans="1:6" x14ac:dyDescent="0.3">
      <c r="A9" s="2">
        <v>420</v>
      </c>
      <c r="B9" t="s">
        <v>7</v>
      </c>
    </row>
    <row r="10" spans="1:6" x14ac:dyDescent="0.3">
      <c r="A10" s="2">
        <v>500</v>
      </c>
      <c r="B10" t="s">
        <v>8</v>
      </c>
    </row>
    <row r="11" spans="1:6" x14ac:dyDescent="0.3">
      <c r="A11" s="2">
        <v>2161</v>
      </c>
      <c r="B11" t="s">
        <v>9</v>
      </c>
    </row>
    <row r="12" spans="1:6" x14ac:dyDescent="0.3">
      <c r="A12" s="2">
        <v>12</v>
      </c>
      <c r="B12" t="s">
        <v>10</v>
      </c>
    </row>
    <row r="13" spans="1:6" x14ac:dyDescent="0.3">
      <c r="A13" s="2">
        <f>SUM(A8:A11)</f>
        <v>3480</v>
      </c>
      <c r="B13" t="s">
        <v>12</v>
      </c>
    </row>
    <row r="14" spans="1:6" x14ac:dyDescent="0.3">
      <c r="A14" s="2">
        <v>3320</v>
      </c>
      <c r="B14" s="1" t="s">
        <v>11</v>
      </c>
    </row>
    <row r="15" spans="1:6" x14ac:dyDescent="0.3">
      <c r="A15" s="3">
        <f>A13/A7</f>
        <v>0.5117647058823529</v>
      </c>
      <c r="B15" t="s">
        <v>13</v>
      </c>
    </row>
    <row r="17" spans="2:2" x14ac:dyDescent="0.3">
      <c r="B17" s="1" t="s">
        <v>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4D724-72DB-4B10-BE1B-633DF302C417}">
  <dimension ref="A1"/>
  <sheetViews>
    <sheetView topLeftCell="A3" workbookViewId="0">
      <selection activeCell="V18" sqref="V18"/>
    </sheetView>
  </sheetViews>
  <sheetFormatPr defaultRowHeight="14.4" x14ac:dyDescent="0.3"/>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68A18-E866-4A02-86C1-2985B5CFFD21}">
  <dimension ref="A1"/>
  <sheetViews>
    <sheetView workbookViewId="0">
      <selection activeCell="V30" sqref="V30:W30"/>
    </sheetView>
  </sheetViews>
  <sheetFormatPr defaultRowHeight="14.4" x14ac:dyDescent="0.3"/>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F3A86-9CE3-4905-B7FB-F71BA243BC9E}">
  <dimension ref="A1"/>
  <sheetViews>
    <sheetView workbookViewId="0">
      <selection activeCell="W13" sqref="W13"/>
    </sheetView>
  </sheetViews>
  <sheetFormatPr defaultRowHeight="14.4" x14ac:dyDescent="0.3"/>
  <sheetData/>
  <pageMargins left="0.7" right="0.7" top="0.75" bottom="0.75" header="0.3" footer="0.3"/>
  <pageSetup orientation="portrait" verticalDpi="0"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B5095-9342-47AB-880E-C97C94685F7B}">
  <dimension ref="A1:T45"/>
  <sheetViews>
    <sheetView tabSelected="1" workbookViewId="0">
      <selection activeCell="L17" sqref="L17"/>
    </sheetView>
  </sheetViews>
  <sheetFormatPr defaultRowHeight="14.4" x14ac:dyDescent="0.3"/>
  <cols>
    <col min="17" max="17" width="9.5546875" bestFit="1" customWidth="1"/>
  </cols>
  <sheetData>
    <row r="1" spans="1:20" x14ac:dyDescent="0.3">
      <c r="A1" t="s">
        <v>95</v>
      </c>
      <c r="J1" s="11" t="s">
        <v>75</v>
      </c>
      <c r="K1" s="11" t="s">
        <v>76</v>
      </c>
      <c r="L1" s="11" t="s">
        <v>77</v>
      </c>
      <c r="M1" s="11" t="s">
        <v>88</v>
      </c>
      <c r="N1" s="11" t="s">
        <v>87</v>
      </c>
    </row>
    <row r="2" spans="1:20" x14ac:dyDescent="0.3">
      <c r="A2" s="11" t="s">
        <v>62</v>
      </c>
      <c r="C2" s="11" t="s">
        <v>23</v>
      </c>
      <c r="I2" s="41" t="s">
        <v>62</v>
      </c>
      <c r="J2" s="42">
        <v>580</v>
      </c>
      <c r="K2" s="42">
        <v>1000</v>
      </c>
      <c r="L2" s="42">
        <v>480</v>
      </c>
      <c r="M2" s="42">
        <v>700</v>
      </c>
      <c r="N2" s="42">
        <f>SUM(J2:M2)</f>
        <v>2760</v>
      </c>
      <c r="O2" s="42">
        <f>D5</f>
        <v>0</v>
      </c>
      <c r="R2" t="s">
        <v>89</v>
      </c>
      <c r="S2" t="s">
        <v>90</v>
      </c>
    </row>
    <row r="3" spans="1:20" x14ac:dyDescent="0.3">
      <c r="A3" s="2"/>
      <c r="B3" t="s">
        <v>42</v>
      </c>
      <c r="C3" s="40">
        <v>0.28999999999999998</v>
      </c>
      <c r="I3" s="38" t="s">
        <v>6</v>
      </c>
      <c r="M3" s="2">
        <v>3</v>
      </c>
      <c r="N3">
        <f>SUM(J3:M3)</f>
        <v>3</v>
      </c>
      <c r="Q3" s="47">
        <v>42997</v>
      </c>
      <c r="S3" s="2">
        <v>3000</v>
      </c>
    </row>
    <row r="4" spans="1:20" x14ac:dyDescent="0.3">
      <c r="A4" s="2"/>
      <c r="B4" t="s">
        <v>2</v>
      </c>
      <c r="C4" s="40">
        <v>0.5</v>
      </c>
      <c r="I4" s="38" t="s">
        <v>28</v>
      </c>
      <c r="M4" s="2">
        <v>2</v>
      </c>
      <c r="N4">
        <f t="shared" ref="N4:N12" si="0">SUM(J4:M4)</f>
        <v>2</v>
      </c>
      <c r="Q4" s="47">
        <v>43355</v>
      </c>
      <c r="S4">
        <v>200</v>
      </c>
      <c r="T4" s="33">
        <f>SUM(S3,S4,R4)</f>
        <v>3200</v>
      </c>
    </row>
    <row r="5" spans="1:20" x14ac:dyDescent="0.3">
      <c r="A5" s="2"/>
      <c r="B5" t="s">
        <v>86</v>
      </c>
      <c r="C5" s="40">
        <v>0.24</v>
      </c>
      <c r="I5" s="38" t="s">
        <v>25</v>
      </c>
      <c r="M5" s="2">
        <v>157</v>
      </c>
      <c r="N5">
        <f t="shared" si="0"/>
        <v>157</v>
      </c>
      <c r="O5" s="37"/>
      <c r="Q5" s="47">
        <v>43696</v>
      </c>
      <c r="R5">
        <v>400</v>
      </c>
    </row>
    <row r="6" spans="1:20" x14ac:dyDescent="0.3">
      <c r="A6" s="2">
        <v>700</v>
      </c>
      <c r="B6" s="24" t="s">
        <v>4</v>
      </c>
      <c r="C6" s="40">
        <f t="shared" ref="C4:C6" si="1">A6/2000</f>
        <v>0.35</v>
      </c>
      <c r="D6" s="6"/>
      <c r="I6" s="38" t="s">
        <v>27</v>
      </c>
      <c r="M6" s="2">
        <v>2</v>
      </c>
      <c r="N6">
        <f t="shared" si="0"/>
        <v>2</v>
      </c>
      <c r="Q6" s="47">
        <v>44069</v>
      </c>
      <c r="S6">
        <v>800</v>
      </c>
      <c r="T6" t="s">
        <v>91</v>
      </c>
    </row>
    <row r="7" spans="1:20" x14ac:dyDescent="0.3">
      <c r="I7" s="38" t="s">
        <v>81</v>
      </c>
      <c r="M7" s="2">
        <v>0</v>
      </c>
      <c r="N7">
        <f t="shared" si="0"/>
        <v>0</v>
      </c>
    </row>
    <row r="8" spans="1:20" x14ac:dyDescent="0.3">
      <c r="A8" s="2">
        <f>SUM(A3:A6)</f>
        <v>700</v>
      </c>
      <c r="B8" s="1" t="s">
        <v>67</v>
      </c>
      <c r="C8">
        <f>SUM(C3:C6)</f>
        <v>1.38</v>
      </c>
      <c r="I8" s="38" t="s">
        <v>63</v>
      </c>
      <c r="M8">
        <v>85</v>
      </c>
      <c r="N8">
        <f t="shared" si="0"/>
        <v>85</v>
      </c>
      <c r="O8" s="37"/>
    </row>
    <row r="9" spans="1:20" x14ac:dyDescent="0.3">
      <c r="A9" s="2"/>
      <c r="B9" s="1"/>
      <c r="I9" s="38" t="s">
        <v>53</v>
      </c>
      <c r="N9">
        <f t="shared" si="0"/>
        <v>0</v>
      </c>
    </row>
    <row r="10" spans="1:20" x14ac:dyDescent="0.3">
      <c r="A10" s="2"/>
      <c r="B10" s="1"/>
      <c r="I10" s="38" t="s">
        <v>99</v>
      </c>
      <c r="M10" s="2">
        <v>2</v>
      </c>
      <c r="N10">
        <f t="shared" si="0"/>
        <v>2</v>
      </c>
    </row>
    <row r="11" spans="1:20" x14ac:dyDescent="0.3">
      <c r="A11" s="2">
        <f>A8</f>
        <v>700</v>
      </c>
      <c r="B11" s="34" t="s">
        <v>66</v>
      </c>
      <c r="C11" s="49">
        <f>ROUND(A11/2000,2)</f>
        <v>0.35</v>
      </c>
      <c r="I11" s="43" t="s">
        <v>12</v>
      </c>
      <c r="J11" s="44">
        <v>580</v>
      </c>
      <c r="K11" s="44">
        <v>1000</v>
      </c>
      <c r="L11" s="44">
        <v>480</v>
      </c>
      <c r="M11" s="44">
        <f t="shared" ref="K11:M11" si="2">SUM(M3:M9)</f>
        <v>249</v>
      </c>
      <c r="N11" s="44">
        <f t="shared" si="0"/>
        <v>2309</v>
      </c>
    </row>
    <row r="12" spans="1:20" x14ac:dyDescent="0.3">
      <c r="A12" s="2">
        <f>$N3</f>
        <v>3</v>
      </c>
      <c r="B12" s="1" t="s">
        <v>6</v>
      </c>
      <c r="C12" s="49">
        <f>ROUND(A12/2000,4)</f>
        <v>1.5E-3</v>
      </c>
      <c r="I12" s="38" t="s">
        <v>54</v>
      </c>
      <c r="J12" s="33">
        <f>J2-SUM(J3:J8)</f>
        <v>580</v>
      </c>
      <c r="K12" s="33"/>
      <c r="L12" s="33"/>
      <c r="M12" s="33">
        <v>449</v>
      </c>
      <c r="N12" s="33">
        <f t="shared" si="0"/>
        <v>1029</v>
      </c>
    </row>
    <row r="13" spans="1:20" x14ac:dyDescent="0.3">
      <c r="A13" s="2">
        <f t="shared" ref="A13:A19" si="3">$N4</f>
        <v>2</v>
      </c>
      <c r="B13" s="1" t="s">
        <v>28</v>
      </c>
      <c r="C13">
        <f t="shared" ref="C13:C16" si="4">ROUND(A13/2000,2)</f>
        <v>0</v>
      </c>
      <c r="I13" s="43" t="s">
        <v>13</v>
      </c>
      <c r="J13" s="45">
        <f>J$11/J$2</f>
        <v>1</v>
      </c>
      <c r="K13" s="45">
        <f t="shared" ref="K13:N13" si="5">K$11/K$2</f>
        <v>1</v>
      </c>
      <c r="L13" s="45">
        <f t="shared" si="5"/>
        <v>1</v>
      </c>
      <c r="M13" s="45">
        <f t="shared" si="5"/>
        <v>0.35571428571428571</v>
      </c>
      <c r="N13" s="45">
        <f t="shared" si="5"/>
        <v>0.83659420289855069</v>
      </c>
      <c r="O13" t="s">
        <v>85</v>
      </c>
      <c r="P13" s="45"/>
    </row>
    <row r="14" spans="1:20" x14ac:dyDescent="0.3">
      <c r="A14" s="2">
        <f t="shared" si="3"/>
        <v>157</v>
      </c>
      <c r="B14" s="1" t="s">
        <v>25</v>
      </c>
      <c r="C14">
        <f t="shared" si="4"/>
        <v>0.08</v>
      </c>
      <c r="I14" s="38" t="s">
        <v>94</v>
      </c>
      <c r="N14" s="45">
        <f>SUM(N3:N7)/N2</f>
        <v>5.9420289855072465E-2</v>
      </c>
      <c r="O14" t="s">
        <v>84</v>
      </c>
    </row>
    <row r="15" spans="1:20" x14ac:dyDescent="0.3">
      <c r="A15" s="2">
        <f t="shared" si="3"/>
        <v>2</v>
      </c>
      <c r="B15" s="1" t="s">
        <v>27</v>
      </c>
      <c r="C15">
        <f t="shared" si="4"/>
        <v>0</v>
      </c>
      <c r="N15" s="45">
        <f>SUM(N3:N4,N6:N7)/N2</f>
        <v>2.5362318840579708E-3</v>
      </c>
      <c r="O15" t="s">
        <v>83</v>
      </c>
    </row>
    <row r="16" spans="1:20" x14ac:dyDescent="0.3">
      <c r="A16" s="2">
        <f t="shared" si="3"/>
        <v>0</v>
      </c>
      <c r="B16" s="1" t="s">
        <v>80</v>
      </c>
      <c r="C16">
        <f t="shared" si="4"/>
        <v>0</v>
      </c>
    </row>
    <row r="17" spans="1:12" x14ac:dyDescent="0.3">
      <c r="A17" s="2">
        <f t="shared" si="3"/>
        <v>85</v>
      </c>
      <c r="B17" s="1" t="s">
        <v>96</v>
      </c>
      <c r="C17" s="48">
        <f>ROUND(A17/2000,2)</f>
        <v>0.04</v>
      </c>
      <c r="D17" t="s">
        <v>98</v>
      </c>
      <c r="I17" s="38" t="s">
        <v>6</v>
      </c>
      <c r="J17">
        <f>N3</f>
        <v>3</v>
      </c>
    </row>
    <row r="18" spans="1:12" x14ac:dyDescent="0.3">
      <c r="A18" s="2">
        <f t="shared" si="3"/>
        <v>0</v>
      </c>
      <c r="B18" s="1" t="s">
        <v>53</v>
      </c>
      <c r="I18" s="38" t="s">
        <v>28</v>
      </c>
      <c r="J18">
        <f>N4</f>
        <v>2</v>
      </c>
      <c r="L18" s="46"/>
    </row>
    <row r="19" spans="1:12" x14ac:dyDescent="0.3">
      <c r="A19" s="2">
        <f t="shared" si="3"/>
        <v>2</v>
      </c>
      <c r="B19" s="1" t="s">
        <v>99</v>
      </c>
      <c r="C19" s="49">
        <f>ROUND(A19/2000,4)</f>
        <v>1E-3</v>
      </c>
      <c r="D19" t="s">
        <v>97</v>
      </c>
      <c r="I19" s="38" t="s">
        <v>25</v>
      </c>
      <c r="J19">
        <f>N5</f>
        <v>157</v>
      </c>
      <c r="L19" s="46"/>
    </row>
    <row r="20" spans="1:12" x14ac:dyDescent="0.3">
      <c r="A20" s="2">
        <f>SUM(A12:A17,A19)</f>
        <v>251</v>
      </c>
      <c r="B20" s="1" t="s">
        <v>12</v>
      </c>
      <c r="C20">
        <f>ROUND(A20/2000,2)</f>
        <v>0.13</v>
      </c>
      <c r="I20" s="38" t="s">
        <v>27</v>
      </c>
      <c r="J20">
        <f>N6</f>
        <v>2</v>
      </c>
    </row>
    <row r="21" spans="1:12" x14ac:dyDescent="0.3">
      <c r="A21" s="2">
        <f>ROUND(A8-A20,0)</f>
        <v>449</v>
      </c>
      <c r="B21" s="1" t="s">
        <v>54</v>
      </c>
      <c r="C21">
        <f>ROUND(A21/2000,2)</f>
        <v>0.22</v>
      </c>
      <c r="I21" s="38" t="s">
        <v>63</v>
      </c>
      <c r="J21">
        <f>N8</f>
        <v>85</v>
      </c>
    </row>
    <row r="22" spans="1:12" x14ac:dyDescent="0.3">
      <c r="A22" s="2"/>
      <c r="B22" s="1" t="s">
        <v>55</v>
      </c>
      <c r="I22" s="38" t="s">
        <v>54</v>
      </c>
      <c r="J22" s="33">
        <f>N12</f>
        <v>1029</v>
      </c>
    </row>
    <row r="23" spans="1:12" x14ac:dyDescent="0.3">
      <c r="A23" s="2"/>
      <c r="B23" s="1" t="s">
        <v>56</v>
      </c>
    </row>
    <row r="24" spans="1:12" x14ac:dyDescent="0.3">
      <c r="A24" s="2"/>
      <c r="B24" s="1" t="s">
        <v>11</v>
      </c>
      <c r="C24">
        <f>ROUND(A24/2000,2)</f>
        <v>0</v>
      </c>
    </row>
    <row r="25" spans="1:12" x14ac:dyDescent="0.3">
      <c r="A25" s="3">
        <f>A20/A8</f>
        <v>0.3585714285714286</v>
      </c>
      <c r="B25" s="1" t="s">
        <v>13</v>
      </c>
      <c r="I25" s="38"/>
    </row>
    <row r="26" spans="1:12" x14ac:dyDescent="0.3">
      <c r="B26" s="1"/>
    </row>
    <row r="27" spans="1:12" x14ac:dyDescent="0.3">
      <c r="A27" s="2"/>
      <c r="B27" s="1" t="s">
        <v>18</v>
      </c>
    </row>
    <row r="28" spans="1:12" x14ac:dyDescent="0.3">
      <c r="A28" s="11" t="s">
        <v>71</v>
      </c>
    </row>
    <row r="29" spans="1:12" x14ac:dyDescent="0.3">
      <c r="B29" s="1" t="s">
        <v>6</v>
      </c>
      <c r="C29" s="2">
        <f>N3</f>
        <v>3</v>
      </c>
      <c r="G29">
        <f>3/2000</f>
        <v>1.5E-3</v>
      </c>
      <c r="J29" t="s">
        <v>100</v>
      </c>
    </row>
    <row r="30" spans="1:12" x14ac:dyDescent="0.3">
      <c r="B30" s="1" t="s">
        <v>28</v>
      </c>
      <c r="C30" s="2">
        <f t="shared" ref="C30:C34" si="6">N4</f>
        <v>2</v>
      </c>
    </row>
    <row r="31" spans="1:12" x14ac:dyDescent="0.3">
      <c r="B31" s="1" t="s">
        <v>25</v>
      </c>
      <c r="C31" s="2">
        <f t="shared" si="6"/>
        <v>157</v>
      </c>
    </row>
    <row r="32" spans="1:12" x14ac:dyDescent="0.3">
      <c r="B32" s="1" t="s">
        <v>27</v>
      </c>
      <c r="C32" s="2">
        <f t="shared" si="6"/>
        <v>2</v>
      </c>
    </row>
    <row r="33" spans="2:5" x14ac:dyDescent="0.3">
      <c r="B33" s="1" t="s">
        <v>80</v>
      </c>
      <c r="C33" s="2">
        <f t="shared" si="6"/>
        <v>0</v>
      </c>
    </row>
    <row r="34" spans="2:5" x14ac:dyDescent="0.3">
      <c r="B34" s="1" t="s">
        <v>63</v>
      </c>
      <c r="C34" s="2">
        <f t="shared" si="6"/>
        <v>85</v>
      </c>
    </row>
    <row r="35" spans="2:5" x14ac:dyDescent="0.3">
      <c r="B35" s="1" t="s">
        <v>54</v>
      </c>
      <c r="C35" s="2">
        <f>N12</f>
        <v>1029</v>
      </c>
      <c r="E35" s="26"/>
    </row>
    <row r="37" spans="2:5" x14ac:dyDescent="0.3">
      <c r="B37" s="1" t="s">
        <v>72</v>
      </c>
      <c r="C37" s="33">
        <f>A20</f>
        <v>251</v>
      </c>
    </row>
    <row r="38" spans="2:5" x14ac:dyDescent="0.3">
      <c r="B38" s="1" t="s">
        <v>54</v>
      </c>
      <c r="C38" s="33">
        <f>A21</f>
        <v>449</v>
      </c>
    </row>
    <row r="40" spans="2:5" x14ac:dyDescent="0.3">
      <c r="B40" s="34" t="s">
        <v>31</v>
      </c>
    </row>
    <row r="41" spans="2:5" x14ac:dyDescent="0.3">
      <c r="B41" s="1" t="s">
        <v>6</v>
      </c>
      <c r="C41" s="2"/>
    </row>
    <row r="42" spans="2:5" x14ac:dyDescent="0.3">
      <c r="B42" s="1" t="s">
        <v>28</v>
      </c>
      <c r="C42" s="2"/>
    </row>
    <row r="43" spans="2:5" x14ac:dyDescent="0.3">
      <c r="B43" s="1" t="s">
        <v>25</v>
      </c>
      <c r="C43" s="2"/>
    </row>
    <row r="44" spans="2:5" x14ac:dyDescent="0.3">
      <c r="B44" s="1" t="s">
        <v>27</v>
      </c>
      <c r="C44" s="2"/>
    </row>
    <row r="45" spans="2:5" x14ac:dyDescent="0.3">
      <c r="B45" s="1" t="s">
        <v>54</v>
      </c>
      <c r="C45" s="2"/>
    </row>
  </sheetData>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A4975-F8F2-429F-A81E-662AF6C11584}">
  <dimension ref="A1:T45"/>
  <sheetViews>
    <sheetView topLeftCell="G1" workbookViewId="0">
      <selection activeCell="S88" sqref="S88"/>
    </sheetView>
  </sheetViews>
  <sheetFormatPr defaultRowHeight="14.4" x14ac:dyDescent="0.3"/>
  <cols>
    <col min="1" max="1" width="11" customWidth="1"/>
    <col min="2" max="2" width="36" bestFit="1" customWidth="1"/>
    <col min="3" max="3" width="9.44140625" bestFit="1" customWidth="1"/>
    <col min="9" max="9" width="20.6640625" bestFit="1" customWidth="1"/>
    <col min="15" max="15" width="36.109375" bestFit="1" customWidth="1"/>
    <col min="17" max="17" width="10.44140625" customWidth="1"/>
    <col min="18" max="18" width="10.88671875" bestFit="1" customWidth="1"/>
    <col min="19" max="19" width="9.5546875" bestFit="1" customWidth="1"/>
    <col min="20" max="20" width="9.6640625" bestFit="1" customWidth="1"/>
  </cols>
  <sheetData>
    <row r="1" spans="1:20" x14ac:dyDescent="0.3">
      <c r="A1" t="s">
        <v>95</v>
      </c>
      <c r="J1" s="11" t="s">
        <v>75</v>
      </c>
      <c r="K1" s="11" t="s">
        <v>76</v>
      </c>
      <c r="L1" s="11" t="s">
        <v>77</v>
      </c>
      <c r="M1" s="11" t="s">
        <v>88</v>
      </c>
      <c r="N1" s="11" t="s">
        <v>87</v>
      </c>
    </row>
    <row r="2" spans="1:20" x14ac:dyDescent="0.3">
      <c r="A2" s="11" t="s">
        <v>62</v>
      </c>
      <c r="C2" s="11" t="s">
        <v>23</v>
      </c>
      <c r="I2" s="41" t="s">
        <v>62</v>
      </c>
      <c r="J2" s="42">
        <v>200</v>
      </c>
      <c r="K2" s="42">
        <v>540</v>
      </c>
      <c r="L2" s="42">
        <v>580</v>
      </c>
      <c r="M2" s="42">
        <v>220</v>
      </c>
      <c r="N2" s="42">
        <f>SUM(J2:M2)</f>
        <v>1540</v>
      </c>
      <c r="O2" s="42">
        <f>D5</f>
        <v>0</v>
      </c>
      <c r="R2" t="s">
        <v>89</v>
      </c>
      <c r="S2" t="s">
        <v>90</v>
      </c>
    </row>
    <row r="3" spans="1:20" x14ac:dyDescent="0.3">
      <c r="A3" s="2">
        <v>200</v>
      </c>
      <c r="B3" t="s">
        <v>42</v>
      </c>
      <c r="C3" s="40">
        <f>A3/2000</f>
        <v>0.1</v>
      </c>
      <c r="I3" s="38" t="s">
        <v>6</v>
      </c>
      <c r="J3">
        <v>1</v>
      </c>
      <c r="K3">
        <v>2</v>
      </c>
      <c r="L3">
        <v>1</v>
      </c>
      <c r="M3" s="2">
        <v>1</v>
      </c>
      <c r="N3">
        <f>SUM(J3:M3)</f>
        <v>5</v>
      </c>
      <c r="Q3" s="47">
        <v>42997</v>
      </c>
      <c r="S3" s="2">
        <v>3000</v>
      </c>
    </row>
    <row r="4" spans="1:20" x14ac:dyDescent="0.3">
      <c r="A4" s="2">
        <v>540</v>
      </c>
      <c r="B4" t="s">
        <v>2</v>
      </c>
      <c r="C4" s="40">
        <f t="shared" ref="C4:C6" si="0">A4/2000</f>
        <v>0.27</v>
      </c>
      <c r="I4" s="38" t="s">
        <v>28</v>
      </c>
      <c r="M4" s="2"/>
      <c r="N4">
        <f t="shared" ref="N4:N12" si="1">SUM(J4:M4)</f>
        <v>0</v>
      </c>
      <c r="Q4" s="47">
        <v>43355</v>
      </c>
      <c r="S4">
        <v>200</v>
      </c>
      <c r="T4" s="33">
        <f>SUM(S3,S4,R4)</f>
        <v>3200</v>
      </c>
    </row>
    <row r="5" spans="1:20" x14ac:dyDescent="0.3">
      <c r="A5" s="2">
        <v>580</v>
      </c>
      <c r="B5" t="s">
        <v>86</v>
      </c>
      <c r="C5" s="40">
        <f t="shared" si="0"/>
        <v>0.28999999999999998</v>
      </c>
      <c r="I5" s="38" t="s">
        <v>25</v>
      </c>
      <c r="J5">
        <v>42</v>
      </c>
      <c r="K5">
        <v>86</v>
      </c>
      <c r="L5">
        <v>145</v>
      </c>
      <c r="M5" s="2">
        <v>35</v>
      </c>
      <c r="N5">
        <f t="shared" si="1"/>
        <v>308</v>
      </c>
      <c r="O5" s="37"/>
      <c r="Q5" s="47">
        <v>43696</v>
      </c>
      <c r="R5">
        <v>400</v>
      </c>
    </row>
    <row r="6" spans="1:20" x14ac:dyDescent="0.3">
      <c r="A6" s="2">
        <v>220</v>
      </c>
      <c r="B6" s="24" t="s">
        <v>4</v>
      </c>
      <c r="C6" s="40">
        <f t="shared" si="0"/>
        <v>0.11</v>
      </c>
      <c r="D6" s="6"/>
      <c r="I6" s="38" t="s">
        <v>27</v>
      </c>
      <c r="J6">
        <v>1</v>
      </c>
      <c r="K6">
        <v>4</v>
      </c>
      <c r="L6">
        <v>2</v>
      </c>
      <c r="M6" s="2"/>
      <c r="N6">
        <f t="shared" si="1"/>
        <v>7</v>
      </c>
      <c r="Q6" s="47">
        <v>44069</v>
      </c>
      <c r="S6">
        <v>800</v>
      </c>
      <c r="T6" t="s">
        <v>91</v>
      </c>
    </row>
    <row r="7" spans="1:20" x14ac:dyDescent="0.3">
      <c r="I7" s="38" t="s">
        <v>81</v>
      </c>
      <c r="J7">
        <v>15</v>
      </c>
      <c r="K7">
        <v>28</v>
      </c>
      <c r="L7">
        <v>24</v>
      </c>
      <c r="M7" s="2">
        <v>8</v>
      </c>
      <c r="N7">
        <f t="shared" si="1"/>
        <v>75</v>
      </c>
    </row>
    <row r="8" spans="1:20" x14ac:dyDescent="0.3">
      <c r="A8" s="2">
        <f>SUM(A3:A6)</f>
        <v>1540</v>
      </c>
      <c r="B8" s="1" t="s">
        <v>67</v>
      </c>
      <c r="C8">
        <f>SUM(C3:C6)</f>
        <v>0.76999999999999991</v>
      </c>
      <c r="I8" s="38" t="s">
        <v>63</v>
      </c>
      <c r="J8">
        <v>28</v>
      </c>
      <c r="K8">
        <v>120</v>
      </c>
      <c r="L8">
        <v>86</v>
      </c>
      <c r="M8">
        <v>36</v>
      </c>
      <c r="N8">
        <f t="shared" si="1"/>
        <v>270</v>
      </c>
      <c r="O8" s="37"/>
    </row>
    <row r="9" spans="1:20" x14ac:dyDescent="0.3">
      <c r="A9" s="2"/>
      <c r="B9" s="1"/>
      <c r="I9" s="38" t="s">
        <v>53</v>
      </c>
      <c r="N9">
        <f t="shared" si="1"/>
        <v>0</v>
      </c>
    </row>
    <row r="10" spans="1:20" x14ac:dyDescent="0.3">
      <c r="A10" s="2"/>
      <c r="B10" s="1"/>
      <c r="I10" s="38" t="s">
        <v>99</v>
      </c>
      <c r="N10">
        <f t="shared" si="1"/>
        <v>0</v>
      </c>
    </row>
    <row r="11" spans="1:20" x14ac:dyDescent="0.3">
      <c r="A11" s="2">
        <f>A8</f>
        <v>1540</v>
      </c>
      <c r="B11" s="34" t="s">
        <v>66</v>
      </c>
      <c r="C11" s="49">
        <f>ROUND(A11/2000,2)</f>
        <v>0.77</v>
      </c>
      <c r="I11" s="43" t="s">
        <v>12</v>
      </c>
      <c r="J11" s="44">
        <f>SUM(J3:J9)</f>
        <v>87</v>
      </c>
      <c r="K11" s="44">
        <f t="shared" ref="K11:M11" si="2">SUM(K3:K9)</f>
        <v>240</v>
      </c>
      <c r="L11" s="44">
        <f>SUM(L3:L10)</f>
        <v>258</v>
      </c>
      <c r="M11" s="44">
        <f t="shared" si="2"/>
        <v>80</v>
      </c>
      <c r="N11" s="44">
        <f t="shared" si="1"/>
        <v>665</v>
      </c>
    </row>
    <row r="12" spans="1:20" x14ac:dyDescent="0.3">
      <c r="A12" s="2">
        <f>$N3</f>
        <v>5</v>
      </c>
      <c r="B12" s="1" t="s">
        <v>6</v>
      </c>
      <c r="C12" s="49">
        <f>ROUND(A12/2000,4)</f>
        <v>2.5000000000000001E-3</v>
      </c>
      <c r="I12" s="38" t="s">
        <v>54</v>
      </c>
      <c r="J12" s="33">
        <f>J2-SUM(J3:J8)</f>
        <v>113</v>
      </c>
      <c r="K12" s="33">
        <v>300</v>
      </c>
      <c r="L12" s="33">
        <v>322</v>
      </c>
      <c r="M12" s="33">
        <v>140</v>
      </c>
      <c r="N12" s="33">
        <f t="shared" si="1"/>
        <v>875</v>
      </c>
    </row>
    <row r="13" spans="1:20" x14ac:dyDescent="0.3">
      <c r="A13" s="2">
        <f t="shared" ref="A13:A19" si="3">$N4</f>
        <v>0</v>
      </c>
      <c r="B13" s="1" t="s">
        <v>28</v>
      </c>
      <c r="C13">
        <f t="shared" ref="C13:C16" si="4">ROUND(A13/2000,2)</f>
        <v>0</v>
      </c>
      <c r="I13" s="43" t="s">
        <v>13</v>
      </c>
      <c r="J13" s="45">
        <f>J$11/J$2</f>
        <v>0.435</v>
      </c>
      <c r="K13" s="45">
        <f t="shared" ref="K13:N13" si="5">K$11/K$2</f>
        <v>0.44444444444444442</v>
      </c>
      <c r="L13" s="45">
        <f t="shared" si="5"/>
        <v>0.44482758620689655</v>
      </c>
      <c r="M13" s="45">
        <f t="shared" si="5"/>
        <v>0.36363636363636365</v>
      </c>
      <c r="N13" s="45">
        <f t="shared" si="5"/>
        <v>0.43181818181818182</v>
      </c>
      <c r="O13" t="s">
        <v>85</v>
      </c>
      <c r="P13" s="45"/>
    </row>
    <row r="14" spans="1:20" x14ac:dyDescent="0.3">
      <c r="A14" s="2">
        <f t="shared" si="3"/>
        <v>308</v>
      </c>
      <c r="B14" s="1" t="s">
        <v>25</v>
      </c>
      <c r="C14">
        <f t="shared" si="4"/>
        <v>0.15</v>
      </c>
      <c r="I14" s="38" t="s">
        <v>94</v>
      </c>
      <c r="N14" s="45">
        <f>SUM(N3:N7)/N2</f>
        <v>0.2564935064935065</v>
      </c>
      <c r="O14" t="s">
        <v>84</v>
      </c>
    </row>
    <row r="15" spans="1:20" x14ac:dyDescent="0.3">
      <c r="A15" s="2">
        <f t="shared" si="3"/>
        <v>7</v>
      </c>
      <c r="B15" s="1" t="s">
        <v>27</v>
      </c>
      <c r="C15">
        <f t="shared" si="4"/>
        <v>0</v>
      </c>
      <c r="N15" s="45">
        <f>SUM(N3:N4,N6:N7)/N2</f>
        <v>5.6493506493506492E-2</v>
      </c>
      <c r="O15" t="s">
        <v>83</v>
      </c>
    </row>
    <row r="16" spans="1:20" x14ac:dyDescent="0.3">
      <c r="A16" s="2">
        <f t="shared" si="3"/>
        <v>75</v>
      </c>
      <c r="B16" s="1" t="s">
        <v>80</v>
      </c>
      <c r="C16">
        <f t="shared" si="4"/>
        <v>0.04</v>
      </c>
    </row>
    <row r="17" spans="1:12" x14ac:dyDescent="0.3">
      <c r="A17" s="2">
        <f t="shared" si="3"/>
        <v>270</v>
      </c>
      <c r="B17" s="1" t="s">
        <v>96</v>
      </c>
      <c r="C17" s="48">
        <f>ROUND(A17/2000,2)</f>
        <v>0.14000000000000001</v>
      </c>
      <c r="D17" t="s">
        <v>98</v>
      </c>
      <c r="I17" s="38" t="s">
        <v>6</v>
      </c>
      <c r="J17">
        <f>N3</f>
        <v>5</v>
      </c>
    </row>
    <row r="18" spans="1:12" x14ac:dyDescent="0.3">
      <c r="A18" s="2">
        <f t="shared" si="3"/>
        <v>0</v>
      </c>
      <c r="B18" s="1" t="s">
        <v>53</v>
      </c>
      <c r="I18" s="38" t="s">
        <v>28</v>
      </c>
      <c r="J18">
        <f>N4</f>
        <v>0</v>
      </c>
      <c r="L18" s="46"/>
    </row>
    <row r="19" spans="1:12" x14ac:dyDescent="0.3">
      <c r="A19" s="2">
        <f t="shared" si="3"/>
        <v>0</v>
      </c>
      <c r="B19" s="1" t="s">
        <v>99</v>
      </c>
      <c r="C19" s="49">
        <f>ROUND(A19/2000,4)</f>
        <v>0</v>
      </c>
      <c r="D19" t="s">
        <v>97</v>
      </c>
      <c r="I19" s="38" t="s">
        <v>25</v>
      </c>
      <c r="J19">
        <f>N5</f>
        <v>308</v>
      </c>
      <c r="L19" s="46"/>
    </row>
    <row r="20" spans="1:12" x14ac:dyDescent="0.3">
      <c r="A20" s="2">
        <f>SUM(A12:A17,A19)</f>
        <v>665</v>
      </c>
      <c r="B20" s="1" t="s">
        <v>12</v>
      </c>
      <c r="C20">
        <f>ROUND(A20/2000,2)</f>
        <v>0.33</v>
      </c>
      <c r="I20" s="38" t="s">
        <v>27</v>
      </c>
      <c r="J20">
        <f>N6</f>
        <v>7</v>
      </c>
    </row>
    <row r="21" spans="1:12" x14ac:dyDescent="0.3">
      <c r="A21" s="2">
        <f>ROUND(A8-A20,0)</f>
        <v>875</v>
      </c>
      <c r="B21" s="1" t="s">
        <v>54</v>
      </c>
      <c r="C21">
        <f>ROUND(A21/2000,2)</f>
        <v>0.44</v>
      </c>
      <c r="I21" s="38" t="s">
        <v>63</v>
      </c>
      <c r="J21">
        <f>N8</f>
        <v>270</v>
      </c>
    </row>
    <row r="22" spans="1:12" x14ac:dyDescent="0.3">
      <c r="A22" s="2"/>
      <c r="B22" s="1" t="s">
        <v>55</v>
      </c>
      <c r="I22" s="38" t="s">
        <v>54</v>
      </c>
      <c r="J22" s="33">
        <f>N12</f>
        <v>875</v>
      </c>
    </row>
    <row r="23" spans="1:12" x14ac:dyDescent="0.3">
      <c r="A23" s="2"/>
      <c r="B23" s="1" t="s">
        <v>56</v>
      </c>
    </row>
    <row r="24" spans="1:12" x14ac:dyDescent="0.3">
      <c r="A24" s="2"/>
      <c r="B24" s="1" t="s">
        <v>11</v>
      </c>
      <c r="C24">
        <f>ROUND(A24/2000,2)</f>
        <v>0</v>
      </c>
    </row>
    <row r="25" spans="1:12" x14ac:dyDescent="0.3">
      <c r="A25" s="3">
        <f>A20/A8</f>
        <v>0.43181818181818182</v>
      </c>
      <c r="B25" s="1" t="s">
        <v>13</v>
      </c>
      <c r="I25" s="38"/>
    </row>
    <row r="26" spans="1:12" x14ac:dyDescent="0.3">
      <c r="B26" s="1"/>
    </row>
    <row r="27" spans="1:12" x14ac:dyDescent="0.3">
      <c r="A27" s="2"/>
      <c r="B27" s="1" t="s">
        <v>18</v>
      </c>
    </row>
    <row r="28" spans="1:12" x14ac:dyDescent="0.3">
      <c r="A28" s="11" t="s">
        <v>71</v>
      </c>
    </row>
    <row r="29" spans="1:12" x14ac:dyDescent="0.3">
      <c r="B29" s="1" t="s">
        <v>6</v>
      </c>
      <c r="C29" s="2">
        <f>N3</f>
        <v>5</v>
      </c>
      <c r="G29">
        <f>3/2000</f>
        <v>1.5E-3</v>
      </c>
    </row>
    <row r="30" spans="1:12" x14ac:dyDescent="0.3">
      <c r="B30" s="1" t="s">
        <v>28</v>
      </c>
      <c r="C30" s="2">
        <f t="shared" ref="C30:C34" si="6">N4</f>
        <v>0</v>
      </c>
    </row>
    <row r="31" spans="1:12" x14ac:dyDescent="0.3">
      <c r="B31" s="1" t="s">
        <v>25</v>
      </c>
      <c r="C31" s="2">
        <f t="shared" si="6"/>
        <v>308</v>
      </c>
    </row>
    <row r="32" spans="1:12" x14ac:dyDescent="0.3">
      <c r="B32" s="1" t="s">
        <v>27</v>
      </c>
      <c r="C32" s="2">
        <f t="shared" si="6"/>
        <v>7</v>
      </c>
    </row>
    <row r="33" spans="2:5" x14ac:dyDescent="0.3">
      <c r="B33" s="1" t="s">
        <v>80</v>
      </c>
      <c r="C33" s="2">
        <f t="shared" si="6"/>
        <v>75</v>
      </c>
    </row>
    <row r="34" spans="2:5" x14ac:dyDescent="0.3">
      <c r="B34" s="1" t="s">
        <v>63</v>
      </c>
      <c r="C34" s="2">
        <f t="shared" si="6"/>
        <v>270</v>
      </c>
    </row>
    <row r="35" spans="2:5" x14ac:dyDescent="0.3">
      <c r="B35" s="1" t="s">
        <v>54</v>
      </c>
      <c r="C35" s="2">
        <f>N12</f>
        <v>875</v>
      </c>
      <c r="E35" s="26"/>
    </row>
    <row r="37" spans="2:5" x14ac:dyDescent="0.3">
      <c r="B37" s="1" t="s">
        <v>72</v>
      </c>
      <c r="C37" s="33">
        <f>A20</f>
        <v>665</v>
      </c>
    </row>
    <row r="38" spans="2:5" x14ac:dyDescent="0.3">
      <c r="B38" s="1" t="s">
        <v>54</v>
      </c>
      <c r="C38" s="33">
        <f>A21</f>
        <v>875</v>
      </c>
    </row>
    <row r="40" spans="2:5" x14ac:dyDescent="0.3">
      <c r="B40" s="34" t="s">
        <v>31</v>
      </c>
    </row>
    <row r="41" spans="2:5" x14ac:dyDescent="0.3">
      <c r="B41" s="1" t="s">
        <v>6</v>
      </c>
      <c r="C41" s="2"/>
    </row>
    <row r="42" spans="2:5" x14ac:dyDescent="0.3">
      <c r="B42" s="1" t="s">
        <v>28</v>
      </c>
      <c r="C42" s="2"/>
    </row>
    <row r="43" spans="2:5" x14ac:dyDescent="0.3">
      <c r="B43" s="1" t="s">
        <v>25</v>
      </c>
      <c r="C43" s="2"/>
    </row>
    <row r="44" spans="2:5" x14ac:dyDescent="0.3">
      <c r="B44" s="1" t="s">
        <v>27</v>
      </c>
      <c r="C44" s="2"/>
    </row>
    <row r="45" spans="2:5" x14ac:dyDescent="0.3">
      <c r="B45" s="1" t="s">
        <v>54</v>
      </c>
      <c r="C45" s="2"/>
    </row>
  </sheetData>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45"/>
  <sheetViews>
    <sheetView topLeftCell="A4" workbookViewId="0">
      <selection activeCell="O28" sqref="O28"/>
    </sheetView>
  </sheetViews>
  <sheetFormatPr defaultRowHeight="14.4" x14ac:dyDescent="0.3"/>
  <cols>
    <col min="1" max="1" width="11" customWidth="1"/>
    <col min="2" max="2" width="36" bestFit="1" customWidth="1"/>
    <col min="3" max="3" width="9.44140625" bestFit="1" customWidth="1"/>
    <col min="9" max="9" width="20.6640625" bestFit="1" customWidth="1"/>
    <col min="15" max="15" width="36.109375" bestFit="1" customWidth="1"/>
    <col min="17" max="17" width="10.44140625" customWidth="1"/>
    <col min="18" max="18" width="10.88671875" bestFit="1" customWidth="1"/>
    <col min="19" max="19" width="9.5546875" bestFit="1" customWidth="1"/>
    <col min="20" max="20" width="9.6640625" bestFit="1" customWidth="1"/>
  </cols>
  <sheetData>
    <row r="1" spans="1:20" x14ac:dyDescent="0.3">
      <c r="A1" t="s">
        <v>95</v>
      </c>
      <c r="J1" s="11" t="s">
        <v>75</v>
      </c>
      <c r="K1" s="11" t="s">
        <v>76</v>
      </c>
      <c r="L1" s="11" t="s">
        <v>77</v>
      </c>
      <c r="M1" s="11" t="s">
        <v>88</v>
      </c>
      <c r="N1" s="11" t="s">
        <v>87</v>
      </c>
    </row>
    <row r="2" spans="1:20" x14ac:dyDescent="0.3">
      <c r="A2" s="11" t="s">
        <v>62</v>
      </c>
      <c r="C2" s="11" t="s">
        <v>23</v>
      </c>
      <c r="I2" s="41" t="s">
        <v>62</v>
      </c>
      <c r="J2" s="42">
        <f>A3</f>
        <v>498</v>
      </c>
      <c r="K2" s="42">
        <f>A4</f>
        <v>720</v>
      </c>
      <c r="L2" s="42">
        <f>A5</f>
        <v>640</v>
      </c>
      <c r="M2" s="42">
        <f>A6</f>
        <v>180</v>
      </c>
      <c r="N2" s="42">
        <f>SUM(J2:M2)</f>
        <v>2038</v>
      </c>
      <c r="O2" s="42">
        <f>D5</f>
        <v>0</v>
      </c>
      <c r="R2" t="s">
        <v>89</v>
      </c>
      <c r="S2" t="s">
        <v>90</v>
      </c>
    </row>
    <row r="3" spans="1:20" x14ac:dyDescent="0.3">
      <c r="A3" s="2">
        <v>498</v>
      </c>
      <c r="B3" t="s">
        <v>42</v>
      </c>
      <c r="C3" s="40">
        <f>A3/2000</f>
        <v>0.249</v>
      </c>
      <c r="I3" s="38" t="s">
        <v>6</v>
      </c>
      <c r="J3">
        <v>20</v>
      </c>
      <c r="K3">
        <v>6</v>
      </c>
      <c r="L3">
        <v>2</v>
      </c>
      <c r="M3" s="2"/>
      <c r="N3">
        <f>SUM(J3:M3)</f>
        <v>28</v>
      </c>
      <c r="Q3" s="47">
        <v>42997</v>
      </c>
      <c r="S3" s="2">
        <v>3000</v>
      </c>
    </row>
    <row r="4" spans="1:20" x14ac:dyDescent="0.3">
      <c r="A4" s="2">
        <v>720</v>
      </c>
      <c r="B4" t="s">
        <v>2</v>
      </c>
      <c r="C4" s="40">
        <f t="shared" ref="C4:C6" si="0">A4/2000</f>
        <v>0.36</v>
      </c>
      <c r="I4" s="38" t="s">
        <v>28</v>
      </c>
      <c r="M4" s="2"/>
      <c r="N4">
        <f t="shared" ref="N4:N12" si="1">SUM(J4:M4)</f>
        <v>0</v>
      </c>
      <c r="Q4" s="47">
        <v>43355</v>
      </c>
      <c r="S4">
        <v>200</v>
      </c>
      <c r="T4" s="33">
        <f>SUM(S3,S4,R4)</f>
        <v>3200</v>
      </c>
    </row>
    <row r="5" spans="1:20" x14ac:dyDescent="0.3">
      <c r="A5" s="2">
        <v>640</v>
      </c>
      <c r="B5" t="s">
        <v>86</v>
      </c>
      <c r="C5" s="40">
        <f t="shared" si="0"/>
        <v>0.32</v>
      </c>
      <c r="I5" s="38" t="s">
        <v>25</v>
      </c>
      <c r="K5">
        <v>158</v>
      </c>
      <c r="L5">
        <v>62</v>
      </c>
      <c r="M5" s="2">
        <v>2</v>
      </c>
      <c r="N5">
        <f t="shared" si="1"/>
        <v>222</v>
      </c>
      <c r="O5" s="37"/>
      <c r="Q5" s="47">
        <v>43696</v>
      </c>
      <c r="R5">
        <v>400</v>
      </c>
    </row>
    <row r="6" spans="1:20" x14ac:dyDescent="0.3">
      <c r="A6" s="2">
        <v>180</v>
      </c>
      <c r="B6" s="24" t="s">
        <v>4</v>
      </c>
      <c r="C6" s="40">
        <f t="shared" si="0"/>
        <v>0.09</v>
      </c>
      <c r="D6" s="6"/>
      <c r="I6" s="38" t="s">
        <v>27</v>
      </c>
      <c r="J6">
        <v>4</v>
      </c>
      <c r="M6" s="2"/>
      <c r="N6">
        <f t="shared" si="1"/>
        <v>4</v>
      </c>
      <c r="Q6" s="47">
        <v>44069</v>
      </c>
      <c r="S6">
        <v>800</v>
      </c>
      <c r="T6" t="s">
        <v>91</v>
      </c>
    </row>
    <row r="7" spans="1:20" x14ac:dyDescent="0.3">
      <c r="I7" s="38" t="s">
        <v>81</v>
      </c>
      <c r="J7">
        <v>10</v>
      </c>
      <c r="K7">
        <v>4</v>
      </c>
      <c r="L7">
        <v>2</v>
      </c>
      <c r="M7" s="2"/>
      <c r="N7">
        <f t="shared" si="1"/>
        <v>16</v>
      </c>
    </row>
    <row r="8" spans="1:20" x14ac:dyDescent="0.3">
      <c r="A8" s="2">
        <f>SUM(A3:A6)</f>
        <v>2038</v>
      </c>
      <c r="B8" s="1" t="s">
        <v>67</v>
      </c>
      <c r="C8">
        <f>SUM(C3:C6)</f>
        <v>1.0190000000000001</v>
      </c>
      <c r="I8" s="38" t="s">
        <v>63</v>
      </c>
      <c r="J8">
        <v>68</v>
      </c>
      <c r="K8">
        <v>124</v>
      </c>
      <c r="L8">
        <v>86</v>
      </c>
      <c r="M8">
        <v>28</v>
      </c>
      <c r="N8">
        <f t="shared" si="1"/>
        <v>306</v>
      </c>
      <c r="O8" s="37"/>
    </row>
    <row r="9" spans="1:20" x14ac:dyDescent="0.3">
      <c r="A9" s="2"/>
      <c r="B9" s="1"/>
      <c r="I9" s="38" t="s">
        <v>53</v>
      </c>
      <c r="N9">
        <f t="shared" si="1"/>
        <v>0</v>
      </c>
    </row>
    <row r="10" spans="1:20" x14ac:dyDescent="0.3">
      <c r="A10" s="2"/>
      <c r="B10" s="1"/>
      <c r="I10" s="38" t="s">
        <v>99</v>
      </c>
      <c r="L10">
        <v>3</v>
      </c>
      <c r="N10">
        <f t="shared" si="1"/>
        <v>3</v>
      </c>
    </row>
    <row r="11" spans="1:20" x14ac:dyDescent="0.3">
      <c r="A11" s="2">
        <f>A8</f>
        <v>2038</v>
      </c>
      <c r="B11" s="34" t="s">
        <v>66</v>
      </c>
      <c r="C11" s="49">
        <f>ROUND(A11/2000,2)</f>
        <v>1.02</v>
      </c>
      <c r="I11" s="43" t="s">
        <v>12</v>
      </c>
      <c r="J11" s="44">
        <f>SUM(J3:J9)</f>
        <v>102</v>
      </c>
      <c r="K11" s="44">
        <f t="shared" ref="K11:M11" si="2">SUM(K3:K9)</f>
        <v>292</v>
      </c>
      <c r="L11" s="44">
        <f>SUM(L3:L10)</f>
        <v>155</v>
      </c>
      <c r="M11" s="44">
        <f t="shared" si="2"/>
        <v>30</v>
      </c>
      <c r="N11" s="44">
        <f t="shared" si="1"/>
        <v>579</v>
      </c>
    </row>
    <row r="12" spans="1:20" x14ac:dyDescent="0.3">
      <c r="A12" s="2">
        <f>$N3</f>
        <v>28</v>
      </c>
      <c r="B12" s="1" t="s">
        <v>6</v>
      </c>
      <c r="C12" s="49">
        <f>ROUND(A12/2000,4)</f>
        <v>1.4E-2</v>
      </c>
      <c r="I12" s="38" t="s">
        <v>54</v>
      </c>
      <c r="J12" s="33">
        <f>J2-SUM(J3:J8)</f>
        <v>396</v>
      </c>
      <c r="K12" s="33">
        <f>K2-SUM(K3:K8)</f>
        <v>428</v>
      </c>
      <c r="L12" s="33">
        <f>L2-SUM(L3:L8,L10)</f>
        <v>485</v>
      </c>
      <c r="M12" s="33">
        <f>M2-SUM(M3:M8)</f>
        <v>150</v>
      </c>
      <c r="N12" s="33">
        <f t="shared" si="1"/>
        <v>1459</v>
      </c>
    </row>
    <row r="13" spans="1:20" x14ac:dyDescent="0.3">
      <c r="A13" s="2">
        <f t="shared" ref="A13:A19" si="3">$N4</f>
        <v>0</v>
      </c>
      <c r="B13" s="1" t="s">
        <v>28</v>
      </c>
      <c r="C13">
        <f t="shared" ref="C13:C16" si="4">ROUND(A13/2000,2)</f>
        <v>0</v>
      </c>
      <c r="I13" s="43" t="s">
        <v>13</v>
      </c>
      <c r="J13" s="45">
        <f>J$11/J$2</f>
        <v>0.20481927710843373</v>
      </c>
      <c r="K13" s="45">
        <f t="shared" ref="K13:N13" si="5">K$11/K$2</f>
        <v>0.40555555555555556</v>
      </c>
      <c r="L13" s="45">
        <f t="shared" si="5"/>
        <v>0.2421875</v>
      </c>
      <c r="M13" s="45">
        <f t="shared" si="5"/>
        <v>0.16666666666666666</v>
      </c>
      <c r="N13" s="45">
        <f t="shared" si="5"/>
        <v>0.28410206084396467</v>
      </c>
      <c r="O13" t="s">
        <v>85</v>
      </c>
      <c r="P13" s="45"/>
    </row>
    <row r="14" spans="1:20" x14ac:dyDescent="0.3">
      <c r="A14" s="2">
        <f t="shared" si="3"/>
        <v>222</v>
      </c>
      <c r="B14" s="1" t="s">
        <v>25</v>
      </c>
      <c r="C14">
        <f t="shared" si="4"/>
        <v>0.11</v>
      </c>
      <c r="I14" s="38" t="s">
        <v>94</v>
      </c>
      <c r="N14" s="45">
        <f>SUM(N3:N7)/N2</f>
        <v>0.1324828263002944</v>
      </c>
      <c r="O14" t="s">
        <v>84</v>
      </c>
    </row>
    <row r="15" spans="1:20" x14ac:dyDescent="0.3">
      <c r="A15" s="2">
        <f t="shared" si="3"/>
        <v>4</v>
      </c>
      <c r="B15" s="1" t="s">
        <v>27</v>
      </c>
      <c r="C15">
        <f t="shared" si="4"/>
        <v>0</v>
      </c>
      <c r="N15" s="45">
        <f>SUM(N3:N4,N6:N7)/N2</f>
        <v>2.3552502453385672E-2</v>
      </c>
      <c r="O15" t="s">
        <v>83</v>
      </c>
    </row>
    <row r="16" spans="1:20" x14ac:dyDescent="0.3">
      <c r="A16" s="2">
        <f t="shared" si="3"/>
        <v>16</v>
      </c>
      <c r="B16" s="1" t="s">
        <v>80</v>
      </c>
      <c r="C16">
        <f t="shared" si="4"/>
        <v>0.01</v>
      </c>
    </row>
    <row r="17" spans="1:12" x14ac:dyDescent="0.3">
      <c r="A17" s="2">
        <f t="shared" si="3"/>
        <v>306</v>
      </c>
      <c r="B17" s="1" t="s">
        <v>96</v>
      </c>
      <c r="C17" s="48">
        <f>ROUND(A17/2000,2)</f>
        <v>0.15</v>
      </c>
      <c r="D17" t="s">
        <v>98</v>
      </c>
      <c r="I17" s="38" t="s">
        <v>6</v>
      </c>
      <c r="J17">
        <f>N3</f>
        <v>28</v>
      </c>
    </row>
    <row r="18" spans="1:12" x14ac:dyDescent="0.3">
      <c r="A18" s="2">
        <f t="shared" si="3"/>
        <v>0</v>
      </c>
      <c r="B18" s="1" t="s">
        <v>53</v>
      </c>
      <c r="I18" s="38" t="s">
        <v>28</v>
      </c>
      <c r="J18">
        <f>N4</f>
        <v>0</v>
      </c>
      <c r="L18" s="46"/>
    </row>
    <row r="19" spans="1:12" x14ac:dyDescent="0.3">
      <c r="A19" s="2">
        <f t="shared" si="3"/>
        <v>3</v>
      </c>
      <c r="B19" s="1" t="s">
        <v>99</v>
      </c>
      <c r="C19" s="49">
        <f>ROUND(A19/2000,4)</f>
        <v>1.5E-3</v>
      </c>
      <c r="D19" t="s">
        <v>97</v>
      </c>
      <c r="I19" s="38" t="s">
        <v>25</v>
      </c>
      <c r="J19">
        <f>N5</f>
        <v>222</v>
      </c>
      <c r="L19" s="46"/>
    </row>
    <row r="20" spans="1:12" x14ac:dyDescent="0.3">
      <c r="A20" s="2">
        <f>SUM(A12:A17,A19)</f>
        <v>579</v>
      </c>
      <c r="B20" s="1" t="s">
        <v>12</v>
      </c>
      <c r="C20">
        <f>ROUND(A20/2000,2)</f>
        <v>0.28999999999999998</v>
      </c>
      <c r="I20" s="38" t="s">
        <v>27</v>
      </c>
      <c r="J20">
        <f>N6</f>
        <v>4</v>
      </c>
    </row>
    <row r="21" spans="1:12" x14ac:dyDescent="0.3">
      <c r="A21" s="2">
        <f>ROUND(A8-A20,0)</f>
        <v>1459</v>
      </c>
      <c r="B21" s="1" t="s">
        <v>54</v>
      </c>
      <c r="C21">
        <f>ROUND(A21/2000,2)</f>
        <v>0.73</v>
      </c>
      <c r="I21" s="38" t="s">
        <v>63</v>
      </c>
      <c r="J21">
        <f>N8</f>
        <v>306</v>
      </c>
    </row>
    <row r="22" spans="1:12" x14ac:dyDescent="0.3">
      <c r="A22" s="2"/>
      <c r="B22" s="1" t="s">
        <v>55</v>
      </c>
      <c r="I22" s="38" t="s">
        <v>54</v>
      </c>
      <c r="J22" s="33">
        <f>N12</f>
        <v>1459</v>
      </c>
    </row>
    <row r="23" spans="1:12" x14ac:dyDescent="0.3">
      <c r="A23" s="2"/>
      <c r="B23" s="1" t="s">
        <v>56</v>
      </c>
    </row>
    <row r="24" spans="1:12" x14ac:dyDescent="0.3">
      <c r="A24" s="2"/>
      <c r="B24" s="1" t="s">
        <v>11</v>
      </c>
      <c r="C24">
        <f>ROUND(A24/2000,2)</f>
        <v>0</v>
      </c>
    </row>
    <row r="25" spans="1:12" x14ac:dyDescent="0.3">
      <c r="A25" s="3">
        <f>A20/A8</f>
        <v>0.28410206084396467</v>
      </c>
      <c r="B25" s="1" t="s">
        <v>13</v>
      </c>
      <c r="I25" s="38"/>
    </row>
    <row r="26" spans="1:12" x14ac:dyDescent="0.3">
      <c r="B26" s="1"/>
    </row>
    <row r="27" spans="1:12" x14ac:dyDescent="0.3">
      <c r="A27" s="2"/>
      <c r="B27" s="1" t="s">
        <v>18</v>
      </c>
    </row>
    <row r="28" spans="1:12" x14ac:dyDescent="0.3">
      <c r="A28" s="11" t="s">
        <v>71</v>
      </c>
    </row>
    <row r="29" spans="1:12" x14ac:dyDescent="0.3">
      <c r="B29" s="1" t="s">
        <v>6</v>
      </c>
      <c r="C29" s="2">
        <f>N3</f>
        <v>28</v>
      </c>
      <c r="G29">
        <f>3/2000</f>
        <v>1.5E-3</v>
      </c>
    </row>
    <row r="30" spans="1:12" x14ac:dyDescent="0.3">
      <c r="B30" s="1" t="s">
        <v>28</v>
      </c>
      <c r="C30" s="2">
        <f t="shared" ref="C30:C34" si="6">N4</f>
        <v>0</v>
      </c>
    </row>
    <row r="31" spans="1:12" x14ac:dyDescent="0.3">
      <c r="B31" s="1" t="s">
        <v>25</v>
      </c>
      <c r="C31" s="2">
        <f t="shared" si="6"/>
        <v>222</v>
      </c>
    </row>
    <row r="32" spans="1:12" x14ac:dyDescent="0.3">
      <c r="B32" s="1" t="s">
        <v>27</v>
      </c>
      <c r="C32" s="2">
        <f t="shared" si="6"/>
        <v>4</v>
      </c>
    </row>
    <row r="33" spans="2:5" x14ac:dyDescent="0.3">
      <c r="B33" s="1" t="s">
        <v>80</v>
      </c>
      <c r="C33" s="2">
        <f t="shared" si="6"/>
        <v>16</v>
      </c>
    </row>
    <row r="34" spans="2:5" x14ac:dyDescent="0.3">
      <c r="B34" s="1" t="s">
        <v>63</v>
      </c>
      <c r="C34" s="2">
        <f t="shared" si="6"/>
        <v>306</v>
      </c>
    </row>
    <row r="35" spans="2:5" x14ac:dyDescent="0.3">
      <c r="B35" s="1" t="s">
        <v>54</v>
      </c>
      <c r="C35" s="2">
        <f>N12</f>
        <v>1459</v>
      </c>
      <c r="E35" s="26"/>
    </row>
    <row r="37" spans="2:5" x14ac:dyDescent="0.3">
      <c r="B37" s="1" t="s">
        <v>72</v>
      </c>
      <c r="C37" s="33">
        <f>A20</f>
        <v>579</v>
      </c>
    </row>
    <row r="38" spans="2:5" x14ac:dyDescent="0.3">
      <c r="B38" s="1" t="s">
        <v>54</v>
      </c>
      <c r="C38" s="33">
        <f>A21</f>
        <v>1459</v>
      </c>
    </row>
    <row r="40" spans="2:5" x14ac:dyDescent="0.3">
      <c r="B40" s="34" t="s">
        <v>31</v>
      </c>
    </row>
    <row r="41" spans="2:5" x14ac:dyDescent="0.3">
      <c r="B41" s="1" t="s">
        <v>6</v>
      </c>
      <c r="C41" s="2"/>
    </row>
    <row r="42" spans="2:5" x14ac:dyDescent="0.3">
      <c r="B42" s="1" t="s">
        <v>28</v>
      </c>
      <c r="C42" s="2"/>
    </row>
    <row r="43" spans="2:5" x14ac:dyDescent="0.3">
      <c r="B43" s="1" t="s">
        <v>25</v>
      </c>
      <c r="C43" s="2"/>
    </row>
    <row r="44" spans="2:5" x14ac:dyDescent="0.3">
      <c r="B44" s="1" t="s">
        <v>27</v>
      </c>
      <c r="C44" s="2"/>
    </row>
    <row r="45" spans="2:5" x14ac:dyDescent="0.3">
      <c r="B45" s="1" t="s">
        <v>54</v>
      </c>
      <c r="C45" s="2"/>
    </row>
  </sheetData>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43"/>
  <sheetViews>
    <sheetView topLeftCell="B1" workbookViewId="0">
      <selection activeCell="C36" sqref="C36"/>
    </sheetView>
  </sheetViews>
  <sheetFormatPr defaultRowHeight="14.4" x14ac:dyDescent="0.3"/>
  <cols>
    <col min="1" max="1" width="11" customWidth="1"/>
    <col min="2" max="2" width="36" bestFit="1" customWidth="1"/>
    <col min="9" max="9" width="20.6640625" bestFit="1" customWidth="1"/>
    <col min="15" max="15" width="36.109375" bestFit="1" customWidth="1"/>
    <col min="17" max="17" width="10.44140625" customWidth="1"/>
    <col min="18" max="18" width="10.88671875" bestFit="1" customWidth="1"/>
    <col min="19" max="19" width="9.5546875" bestFit="1" customWidth="1"/>
    <col min="20" max="20" width="9.6640625" bestFit="1" customWidth="1"/>
  </cols>
  <sheetData>
    <row r="1" spans="1:20" x14ac:dyDescent="0.3">
      <c r="A1" t="s">
        <v>92</v>
      </c>
      <c r="J1" s="11" t="s">
        <v>75</v>
      </c>
      <c r="K1" s="11" t="s">
        <v>76</v>
      </c>
      <c r="L1" s="11" t="s">
        <v>77</v>
      </c>
      <c r="M1" s="11" t="s">
        <v>88</v>
      </c>
      <c r="N1" s="11" t="s">
        <v>87</v>
      </c>
    </row>
    <row r="2" spans="1:20" x14ac:dyDescent="0.3">
      <c r="A2" s="11" t="s">
        <v>62</v>
      </c>
      <c r="C2" s="11" t="s">
        <v>23</v>
      </c>
      <c r="I2" s="41" t="s">
        <v>62</v>
      </c>
      <c r="J2" s="42">
        <f>A3</f>
        <v>260</v>
      </c>
      <c r="K2" s="42">
        <f>A4</f>
        <v>220</v>
      </c>
      <c r="L2" s="42">
        <f>A5</f>
        <v>180</v>
      </c>
      <c r="M2" s="42">
        <f>A6</f>
        <v>300</v>
      </c>
      <c r="N2" s="42">
        <f>SUM(J2:M2)</f>
        <v>960</v>
      </c>
      <c r="O2" s="42">
        <f>D5</f>
        <v>0</v>
      </c>
      <c r="R2" t="s">
        <v>89</v>
      </c>
      <c r="S2" t="s">
        <v>90</v>
      </c>
    </row>
    <row r="3" spans="1:20" x14ac:dyDescent="0.3">
      <c r="A3" s="2">
        <v>260</v>
      </c>
      <c r="B3" t="s">
        <v>42</v>
      </c>
      <c r="C3" s="40">
        <f>A3/2000</f>
        <v>0.13</v>
      </c>
      <c r="I3" s="38" t="s">
        <v>6</v>
      </c>
      <c r="J3">
        <v>2</v>
      </c>
      <c r="K3">
        <v>2</v>
      </c>
      <c r="L3">
        <v>3</v>
      </c>
      <c r="M3" s="2"/>
      <c r="N3">
        <f>SUM(J3:M3)</f>
        <v>7</v>
      </c>
      <c r="Q3" s="47">
        <v>42997</v>
      </c>
      <c r="S3" s="2">
        <v>3000</v>
      </c>
    </row>
    <row r="4" spans="1:20" x14ac:dyDescent="0.3">
      <c r="A4" s="2">
        <v>220</v>
      </c>
      <c r="B4" t="s">
        <v>2</v>
      </c>
      <c r="C4" s="40">
        <f t="shared" ref="C4:C6" si="0">A4/2000</f>
        <v>0.11</v>
      </c>
      <c r="I4" s="38" t="s">
        <v>28</v>
      </c>
      <c r="J4">
        <v>2</v>
      </c>
      <c r="K4">
        <v>2</v>
      </c>
      <c r="M4" s="2"/>
      <c r="N4">
        <f t="shared" ref="N4:N11" si="1">SUM(J4:M4)</f>
        <v>4</v>
      </c>
      <c r="Q4" s="47">
        <v>43355</v>
      </c>
      <c r="S4">
        <v>200</v>
      </c>
      <c r="T4" s="33">
        <f>SUM(S3,S4,R4)</f>
        <v>3200</v>
      </c>
    </row>
    <row r="5" spans="1:20" x14ac:dyDescent="0.3">
      <c r="A5" s="2">
        <v>180</v>
      </c>
      <c r="B5" t="s">
        <v>86</v>
      </c>
      <c r="C5" s="40">
        <f t="shared" si="0"/>
        <v>0.09</v>
      </c>
      <c r="I5" s="38" t="s">
        <v>25</v>
      </c>
      <c r="J5">
        <v>10</v>
      </c>
      <c r="K5">
        <v>11</v>
      </c>
      <c r="L5">
        <v>18</v>
      </c>
      <c r="M5" s="2">
        <v>3</v>
      </c>
      <c r="N5">
        <f t="shared" si="1"/>
        <v>42</v>
      </c>
      <c r="O5" s="37"/>
      <c r="Q5" s="47">
        <v>43696</v>
      </c>
      <c r="R5">
        <v>400</v>
      </c>
    </row>
    <row r="6" spans="1:20" x14ac:dyDescent="0.3">
      <c r="A6" s="2">
        <v>300</v>
      </c>
      <c r="B6" s="24" t="s">
        <v>4</v>
      </c>
      <c r="C6" s="40">
        <f t="shared" si="0"/>
        <v>0.15</v>
      </c>
      <c r="D6" s="6"/>
      <c r="I6" s="38" t="s">
        <v>27</v>
      </c>
      <c r="J6">
        <v>4</v>
      </c>
      <c r="K6">
        <v>3</v>
      </c>
      <c r="L6">
        <v>3</v>
      </c>
      <c r="M6" s="2"/>
      <c r="N6">
        <f t="shared" si="1"/>
        <v>10</v>
      </c>
      <c r="Q6" s="47">
        <v>44069</v>
      </c>
      <c r="S6">
        <v>800</v>
      </c>
      <c r="T6" t="s">
        <v>91</v>
      </c>
    </row>
    <row r="7" spans="1:20" x14ac:dyDescent="0.3">
      <c r="I7" s="38" t="s">
        <v>81</v>
      </c>
      <c r="K7">
        <v>4</v>
      </c>
      <c r="M7" s="2"/>
      <c r="N7">
        <f t="shared" si="1"/>
        <v>4</v>
      </c>
    </row>
    <row r="8" spans="1:20" x14ac:dyDescent="0.3">
      <c r="A8" s="2">
        <f>SUM(A3:A6)</f>
        <v>960</v>
      </c>
      <c r="B8" s="1" t="s">
        <v>67</v>
      </c>
      <c r="C8">
        <f>SUM(C3:C6)</f>
        <v>0.48</v>
      </c>
      <c r="I8" s="38" t="s">
        <v>63</v>
      </c>
      <c r="J8">
        <v>14</v>
      </c>
      <c r="L8">
        <v>16</v>
      </c>
      <c r="M8">
        <v>41</v>
      </c>
      <c r="N8">
        <f t="shared" si="1"/>
        <v>71</v>
      </c>
      <c r="O8" s="37"/>
    </row>
    <row r="9" spans="1:20" x14ac:dyDescent="0.3">
      <c r="A9" s="2"/>
      <c r="B9" s="1"/>
      <c r="I9" s="38" t="s">
        <v>53</v>
      </c>
      <c r="N9">
        <f t="shared" si="1"/>
        <v>0</v>
      </c>
    </row>
    <row r="10" spans="1:20" x14ac:dyDescent="0.3">
      <c r="A10" s="2">
        <f>A8</f>
        <v>960</v>
      </c>
      <c r="B10" s="34" t="s">
        <v>66</v>
      </c>
      <c r="C10">
        <f>ROUND(A10/2000,2)</f>
        <v>0.48</v>
      </c>
      <c r="I10" s="43" t="s">
        <v>12</v>
      </c>
      <c r="J10" s="44">
        <f>SUM(J3:J9)</f>
        <v>32</v>
      </c>
      <c r="K10" s="44">
        <f t="shared" ref="K10:M10" si="2">SUM(K3:K9)</f>
        <v>22</v>
      </c>
      <c r="L10" s="44">
        <f t="shared" si="2"/>
        <v>40</v>
      </c>
      <c r="M10" s="44">
        <f t="shared" si="2"/>
        <v>44</v>
      </c>
      <c r="N10" s="44">
        <f t="shared" si="1"/>
        <v>138</v>
      </c>
    </row>
    <row r="11" spans="1:20" x14ac:dyDescent="0.3">
      <c r="A11" s="2">
        <f>N3</f>
        <v>7</v>
      </c>
      <c r="B11" s="1" t="s">
        <v>6</v>
      </c>
      <c r="I11" s="38" t="s">
        <v>54</v>
      </c>
      <c r="J11" s="33">
        <f>J2-SUM(J3:J8)</f>
        <v>228</v>
      </c>
      <c r="K11" s="33">
        <f>K2-SUM(K3:K8)</f>
        <v>198</v>
      </c>
      <c r="L11" s="33">
        <f>L2-SUM(L3:L8)</f>
        <v>140</v>
      </c>
      <c r="M11" s="33">
        <f>M2-SUM(M3:M8)</f>
        <v>256</v>
      </c>
      <c r="N11" s="33">
        <f t="shared" si="1"/>
        <v>822</v>
      </c>
    </row>
    <row r="12" spans="1:20" x14ac:dyDescent="0.3">
      <c r="A12" s="2">
        <f t="shared" ref="A12:A17" si="3">N4</f>
        <v>4</v>
      </c>
      <c r="B12" s="1" t="s">
        <v>28</v>
      </c>
      <c r="I12" s="43" t="s">
        <v>13</v>
      </c>
      <c r="J12" s="45">
        <f>J$10/J$2</f>
        <v>0.12307692307692308</v>
      </c>
      <c r="K12" s="45">
        <f t="shared" ref="K12:N12" si="4">K$10/K$2</f>
        <v>0.1</v>
      </c>
      <c r="L12" s="45">
        <f t="shared" si="4"/>
        <v>0.22222222222222221</v>
      </c>
      <c r="M12" s="45">
        <f t="shared" si="4"/>
        <v>0.14666666666666667</v>
      </c>
      <c r="N12" s="45">
        <f t="shared" si="4"/>
        <v>0.14374999999999999</v>
      </c>
      <c r="O12" t="s">
        <v>85</v>
      </c>
      <c r="P12" s="45"/>
    </row>
    <row r="13" spans="1:20" x14ac:dyDescent="0.3">
      <c r="A13" s="2">
        <f t="shared" si="3"/>
        <v>42</v>
      </c>
      <c r="B13" s="1" t="s">
        <v>25</v>
      </c>
      <c r="I13" s="38" t="s">
        <v>94</v>
      </c>
      <c r="N13" s="45">
        <f>SUM(N3:N7)/N2</f>
        <v>6.9791666666666669E-2</v>
      </c>
      <c r="O13" t="s">
        <v>84</v>
      </c>
    </row>
    <row r="14" spans="1:20" x14ac:dyDescent="0.3">
      <c r="A14" s="2">
        <f t="shared" si="3"/>
        <v>10</v>
      </c>
      <c r="B14" s="1" t="s">
        <v>27</v>
      </c>
      <c r="N14" s="45">
        <f>SUM(N3:N4,N6:N7)/N2</f>
        <v>2.6041666666666668E-2</v>
      </c>
      <c r="O14" t="s">
        <v>83</v>
      </c>
    </row>
    <row r="15" spans="1:20" x14ac:dyDescent="0.3">
      <c r="A15" s="2">
        <f t="shared" si="3"/>
        <v>4</v>
      </c>
      <c r="B15" s="1" t="s">
        <v>80</v>
      </c>
    </row>
    <row r="16" spans="1:20" x14ac:dyDescent="0.3">
      <c r="A16" s="2">
        <f t="shared" si="3"/>
        <v>71</v>
      </c>
      <c r="B16" s="1" t="s">
        <v>63</v>
      </c>
    </row>
    <row r="17" spans="1:12" x14ac:dyDescent="0.3">
      <c r="A17" s="2">
        <f t="shared" si="3"/>
        <v>0</v>
      </c>
      <c r="B17" s="1" t="s">
        <v>53</v>
      </c>
      <c r="I17" s="38" t="s">
        <v>6</v>
      </c>
      <c r="J17">
        <f>N3</f>
        <v>7</v>
      </c>
      <c r="L17" s="46"/>
    </row>
    <row r="18" spans="1:12" x14ac:dyDescent="0.3">
      <c r="A18" s="2">
        <f>SUM(A11:A17)</f>
        <v>138</v>
      </c>
      <c r="B18" s="1" t="s">
        <v>12</v>
      </c>
      <c r="C18">
        <f>ROUND(A18/2000,2)</f>
        <v>7.0000000000000007E-2</v>
      </c>
      <c r="I18" s="38" t="s">
        <v>28</v>
      </c>
      <c r="J18">
        <f t="shared" ref="J18:J20" si="5">N4</f>
        <v>4</v>
      </c>
    </row>
    <row r="19" spans="1:12" x14ac:dyDescent="0.3">
      <c r="A19" s="2">
        <f>A10-A18</f>
        <v>822</v>
      </c>
      <c r="B19" s="1" t="s">
        <v>54</v>
      </c>
      <c r="I19" s="38" t="s">
        <v>25</v>
      </c>
      <c r="J19">
        <f t="shared" si="5"/>
        <v>42</v>
      </c>
    </row>
    <row r="20" spans="1:12" x14ac:dyDescent="0.3">
      <c r="A20" s="2"/>
      <c r="B20" s="1" t="s">
        <v>55</v>
      </c>
      <c r="I20" s="38" t="s">
        <v>27</v>
      </c>
      <c r="J20">
        <f t="shared" si="5"/>
        <v>10</v>
      </c>
    </row>
    <row r="21" spans="1:12" x14ac:dyDescent="0.3">
      <c r="A21" s="2"/>
      <c r="B21" s="1" t="s">
        <v>56</v>
      </c>
      <c r="I21" s="38" t="s">
        <v>63</v>
      </c>
      <c r="J21">
        <f>N8</f>
        <v>71</v>
      </c>
    </row>
    <row r="22" spans="1:12" x14ac:dyDescent="0.3">
      <c r="A22" s="2">
        <f>SUM(A19:A21)</f>
        <v>822</v>
      </c>
      <c r="B22" s="1" t="s">
        <v>11</v>
      </c>
      <c r="C22">
        <f>ROUND(A22/2000,2)</f>
        <v>0.41</v>
      </c>
      <c r="I22" s="38" t="s">
        <v>54</v>
      </c>
      <c r="J22" s="33">
        <f>N11</f>
        <v>822</v>
      </c>
    </row>
    <row r="23" spans="1:12" x14ac:dyDescent="0.3">
      <c r="A23" s="3">
        <f>A18/A8</f>
        <v>0.14374999999999999</v>
      </c>
      <c r="B23" s="1" t="s">
        <v>13</v>
      </c>
      <c r="I23" s="38"/>
    </row>
    <row r="24" spans="1:12" x14ac:dyDescent="0.3">
      <c r="B24" s="1"/>
    </row>
    <row r="25" spans="1:12" x14ac:dyDescent="0.3">
      <c r="A25" s="2"/>
      <c r="B25" s="1" t="s">
        <v>18</v>
      </c>
    </row>
    <row r="26" spans="1:12" x14ac:dyDescent="0.3">
      <c r="A26" s="11" t="s">
        <v>71</v>
      </c>
    </row>
    <row r="27" spans="1:12" x14ac:dyDescent="0.3">
      <c r="B27" s="1" t="s">
        <v>6</v>
      </c>
      <c r="C27" s="2">
        <f>N3</f>
        <v>7</v>
      </c>
    </row>
    <row r="28" spans="1:12" x14ac:dyDescent="0.3">
      <c r="B28" s="1" t="s">
        <v>28</v>
      </c>
      <c r="C28" s="2">
        <f t="shared" ref="C28:C32" si="6">N4</f>
        <v>4</v>
      </c>
    </row>
    <row r="29" spans="1:12" x14ac:dyDescent="0.3">
      <c r="B29" s="1" t="s">
        <v>25</v>
      </c>
      <c r="C29" s="2">
        <f t="shared" si="6"/>
        <v>42</v>
      </c>
    </row>
    <row r="30" spans="1:12" x14ac:dyDescent="0.3">
      <c r="B30" s="1" t="s">
        <v>27</v>
      </c>
      <c r="C30" s="2">
        <f t="shared" si="6"/>
        <v>10</v>
      </c>
    </row>
    <row r="31" spans="1:12" x14ac:dyDescent="0.3">
      <c r="B31" s="1" t="s">
        <v>80</v>
      </c>
      <c r="C31" s="2">
        <f t="shared" si="6"/>
        <v>4</v>
      </c>
    </row>
    <row r="32" spans="1:12" x14ac:dyDescent="0.3">
      <c r="B32" s="1" t="s">
        <v>63</v>
      </c>
      <c r="C32" s="2">
        <f t="shared" si="6"/>
        <v>71</v>
      </c>
    </row>
    <row r="33" spans="2:5" x14ac:dyDescent="0.3">
      <c r="B33" s="1" t="s">
        <v>54</v>
      </c>
      <c r="C33" s="2">
        <f>N11</f>
        <v>822</v>
      </c>
      <c r="E33" s="26"/>
    </row>
    <row r="35" spans="2:5" x14ac:dyDescent="0.3">
      <c r="B35" s="1" t="s">
        <v>72</v>
      </c>
      <c r="C35" s="33">
        <f>A18</f>
        <v>138</v>
      </c>
    </row>
    <row r="36" spans="2:5" x14ac:dyDescent="0.3">
      <c r="B36" s="1" t="s">
        <v>54</v>
      </c>
      <c r="C36" s="33">
        <f>A19</f>
        <v>822</v>
      </c>
    </row>
    <row r="38" spans="2:5" x14ac:dyDescent="0.3">
      <c r="B38" s="34" t="s">
        <v>31</v>
      </c>
    </row>
    <row r="39" spans="2:5" x14ac:dyDescent="0.3">
      <c r="B39" s="1" t="s">
        <v>6</v>
      </c>
      <c r="C39" s="2"/>
    </row>
    <row r="40" spans="2:5" x14ac:dyDescent="0.3">
      <c r="B40" s="1" t="s">
        <v>28</v>
      </c>
      <c r="C40" s="2"/>
    </row>
    <row r="41" spans="2:5" x14ac:dyDescent="0.3">
      <c r="B41" s="1" t="s">
        <v>25</v>
      </c>
      <c r="C41" s="2"/>
    </row>
    <row r="42" spans="2:5" x14ac:dyDescent="0.3">
      <c r="B42" s="1" t="s">
        <v>27</v>
      </c>
      <c r="C42" s="2"/>
    </row>
    <row r="43" spans="2:5" x14ac:dyDescent="0.3">
      <c r="B43" s="1" t="s">
        <v>54</v>
      </c>
      <c r="C43" s="2"/>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43"/>
  <sheetViews>
    <sheetView workbookViewId="0">
      <selection activeCell="O15" sqref="O15"/>
    </sheetView>
  </sheetViews>
  <sheetFormatPr defaultRowHeight="14.4" x14ac:dyDescent="0.3"/>
  <cols>
    <col min="1" max="1" width="11" customWidth="1"/>
    <col min="2" max="2" width="36" bestFit="1" customWidth="1"/>
    <col min="9" max="9" width="20.6640625" bestFit="1" customWidth="1"/>
    <col min="15" max="15" width="36.109375" bestFit="1" customWidth="1"/>
    <col min="17" max="17" width="10.44140625" customWidth="1"/>
    <col min="18" max="18" width="10.88671875" bestFit="1" customWidth="1"/>
    <col min="19" max="19" width="9.5546875" bestFit="1" customWidth="1"/>
    <col min="20" max="20" width="9.6640625" bestFit="1" customWidth="1"/>
  </cols>
  <sheetData>
    <row r="1" spans="1:20" x14ac:dyDescent="0.3">
      <c r="A1" t="s">
        <v>92</v>
      </c>
      <c r="J1" s="11" t="s">
        <v>75</v>
      </c>
      <c r="K1" s="11" t="s">
        <v>76</v>
      </c>
      <c r="L1" s="11" t="s">
        <v>77</v>
      </c>
      <c r="M1" s="11" t="s">
        <v>88</v>
      </c>
      <c r="N1" s="11" t="s">
        <v>87</v>
      </c>
    </row>
    <row r="2" spans="1:20" x14ac:dyDescent="0.3">
      <c r="A2" s="11" t="s">
        <v>62</v>
      </c>
      <c r="C2" s="11" t="s">
        <v>23</v>
      </c>
      <c r="I2" s="41" t="s">
        <v>62</v>
      </c>
      <c r="J2" s="42">
        <f>A3</f>
        <v>200</v>
      </c>
      <c r="K2" s="42">
        <f>A4</f>
        <v>960</v>
      </c>
      <c r="L2" s="42">
        <f>A5</f>
        <v>320</v>
      </c>
      <c r="M2" s="42">
        <f>A6</f>
        <v>640</v>
      </c>
      <c r="N2" s="42">
        <f>SUM(J2:M2)</f>
        <v>2120</v>
      </c>
      <c r="O2" s="42">
        <f>D5</f>
        <v>0</v>
      </c>
      <c r="R2" t="s">
        <v>89</v>
      </c>
      <c r="S2" t="s">
        <v>90</v>
      </c>
    </row>
    <row r="3" spans="1:20" x14ac:dyDescent="0.3">
      <c r="A3" s="2">
        <v>200</v>
      </c>
      <c r="B3" t="s">
        <v>42</v>
      </c>
      <c r="C3" s="40">
        <f>A3/2000</f>
        <v>0.1</v>
      </c>
      <c r="I3" s="38" t="s">
        <v>6</v>
      </c>
      <c r="J3">
        <v>2</v>
      </c>
      <c r="K3">
        <v>22</v>
      </c>
      <c r="L3">
        <v>0.5</v>
      </c>
      <c r="M3" s="2"/>
      <c r="N3">
        <f>SUM(J3:M3)</f>
        <v>24.5</v>
      </c>
      <c r="Q3" s="47">
        <v>42997</v>
      </c>
      <c r="S3" s="2">
        <v>3000</v>
      </c>
    </row>
    <row r="4" spans="1:20" x14ac:dyDescent="0.3">
      <c r="A4" s="2">
        <v>960</v>
      </c>
      <c r="B4" t="s">
        <v>2</v>
      </c>
      <c r="C4" s="40">
        <f t="shared" ref="C4:C6" si="0">A4/2000</f>
        <v>0.48</v>
      </c>
      <c r="I4" s="38" t="s">
        <v>28</v>
      </c>
      <c r="J4">
        <v>3</v>
      </c>
      <c r="K4">
        <v>26</v>
      </c>
      <c r="M4" s="2"/>
      <c r="N4">
        <f t="shared" ref="N4:N11" si="1">SUM(J4:M4)</f>
        <v>29</v>
      </c>
      <c r="Q4" s="47">
        <v>43355</v>
      </c>
      <c r="S4">
        <v>200</v>
      </c>
      <c r="T4" s="33">
        <f>SUM(S3,S4,R4)</f>
        <v>3200</v>
      </c>
    </row>
    <row r="5" spans="1:20" x14ac:dyDescent="0.3">
      <c r="A5" s="2">
        <v>320</v>
      </c>
      <c r="B5" t="s">
        <v>86</v>
      </c>
      <c r="C5" s="40">
        <f t="shared" si="0"/>
        <v>0.16</v>
      </c>
      <c r="I5" s="38" t="s">
        <v>25</v>
      </c>
      <c r="J5">
        <v>35</v>
      </c>
      <c r="K5">
        <v>324</v>
      </c>
      <c r="L5">
        <v>94</v>
      </c>
      <c r="M5" s="2"/>
      <c r="N5">
        <f t="shared" si="1"/>
        <v>453</v>
      </c>
      <c r="O5" s="37"/>
      <c r="Q5" s="47">
        <v>43696</v>
      </c>
      <c r="R5">
        <v>400</v>
      </c>
    </row>
    <row r="6" spans="1:20" x14ac:dyDescent="0.3">
      <c r="A6" s="2">
        <v>640</v>
      </c>
      <c r="B6" s="24" t="s">
        <v>4</v>
      </c>
      <c r="C6" s="40">
        <f t="shared" si="0"/>
        <v>0.32</v>
      </c>
      <c r="D6" s="6" t="s">
        <v>93</v>
      </c>
      <c r="I6" s="38" t="s">
        <v>27</v>
      </c>
      <c r="J6">
        <v>1</v>
      </c>
      <c r="K6">
        <v>11</v>
      </c>
      <c r="L6">
        <v>1</v>
      </c>
      <c r="M6" s="2"/>
      <c r="N6">
        <f t="shared" si="1"/>
        <v>13</v>
      </c>
      <c r="Q6" s="47">
        <v>44069</v>
      </c>
      <c r="S6">
        <v>800</v>
      </c>
      <c r="T6" t="s">
        <v>91</v>
      </c>
    </row>
    <row r="7" spans="1:20" x14ac:dyDescent="0.3">
      <c r="I7" s="38" t="s">
        <v>81</v>
      </c>
      <c r="M7" s="2"/>
      <c r="N7">
        <f t="shared" si="1"/>
        <v>0</v>
      </c>
    </row>
    <row r="8" spans="1:20" x14ac:dyDescent="0.3">
      <c r="A8" s="2">
        <f>SUM(A3:A6)</f>
        <v>2120</v>
      </c>
      <c r="B8" s="1" t="s">
        <v>67</v>
      </c>
      <c r="C8">
        <f>SUM(C3:C6)</f>
        <v>1.06</v>
      </c>
      <c r="I8" s="38" t="s">
        <v>63</v>
      </c>
      <c r="K8">
        <v>114</v>
      </c>
      <c r="N8">
        <f t="shared" si="1"/>
        <v>114</v>
      </c>
      <c r="O8" s="37"/>
    </row>
    <row r="9" spans="1:20" x14ac:dyDescent="0.3">
      <c r="A9" s="2"/>
      <c r="B9" s="1"/>
      <c r="I9" s="38" t="s">
        <v>53</v>
      </c>
      <c r="N9">
        <f t="shared" si="1"/>
        <v>0</v>
      </c>
    </row>
    <row r="10" spans="1:20" x14ac:dyDescent="0.3">
      <c r="A10" s="2">
        <f>A8</f>
        <v>2120</v>
      </c>
      <c r="B10" s="34" t="s">
        <v>66</v>
      </c>
      <c r="C10">
        <f>ROUND(A10/2000,2)</f>
        <v>1.06</v>
      </c>
      <c r="I10" s="43" t="s">
        <v>12</v>
      </c>
      <c r="J10" s="44">
        <f>SUM(J3:J9)</f>
        <v>41</v>
      </c>
      <c r="K10" s="44">
        <f t="shared" ref="K10:M10" si="2">SUM(K3:K9)</f>
        <v>497</v>
      </c>
      <c r="L10" s="44">
        <f t="shared" si="2"/>
        <v>95.5</v>
      </c>
      <c r="M10" s="44">
        <f t="shared" si="2"/>
        <v>0</v>
      </c>
      <c r="N10" s="44">
        <f t="shared" si="1"/>
        <v>633.5</v>
      </c>
    </row>
    <row r="11" spans="1:20" x14ac:dyDescent="0.3">
      <c r="A11" s="2">
        <f>N3</f>
        <v>24.5</v>
      </c>
      <c r="B11" s="1" t="s">
        <v>6</v>
      </c>
      <c r="I11" s="38" t="s">
        <v>54</v>
      </c>
      <c r="J11" s="33">
        <f>J2-SUM(J3:J8)</f>
        <v>159</v>
      </c>
      <c r="K11" s="33">
        <f>K2-SUM(K3:K8)</f>
        <v>463</v>
      </c>
      <c r="L11" s="33">
        <f>L2-SUM(L3:L8)</f>
        <v>224.5</v>
      </c>
      <c r="M11" s="33">
        <f>M2-SUM(M3:M8)</f>
        <v>640</v>
      </c>
      <c r="N11" s="33">
        <f t="shared" si="1"/>
        <v>1486.5</v>
      </c>
    </row>
    <row r="12" spans="1:20" x14ac:dyDescent="0.3">
      <c r="A12" s="2">
        <f t="shared" ref="A12:A17" si="3">N4</f>
        <v>29</v>
      </c>
      <c r="B12" s="1" t="s">
        <v>28</v>
      </c>
      <c r="I12" s="43" t="s">
        <v>13</v>
      </c>
      <c r="J12" s="45">
        <f>J$10/J$2</f>
        <v>0.20499999999999999</v>
      </c>
      <c r="K12" s="45">
        <f t="shared" ref="K12:N12" si="4">K$10/K$2</f>
        <v>0.51770833333333333</v>
      </c>
      <c r="L12" s="45">
        <f t="shared" si="4"/>
        <v>0.29843750000000002</v>
      </c>
      <c r="M12" s="45">
        <f t="shared" si="4"/>
        <v>0</v>
      </c>
      <c r="N12" s="45">
        <f t="shared" si="4"/>
        <v>0.29882075471698111</v>
      </c>
      <c r="O12" t="s">
        <v>85</v>
      </c>
      <c r="P12" s="45"/>
    </row>
    <row r="13" spans="1:20" x14ac:dyDescent="0.3">
      <c r="A13" s="2">
        <f t="shared" si="3"/>
        <v>453</v>
      </c>
      <c r="B13" s="1" t="s">
        <v>25</v>
      </c>
      <c r="I13" s="38" t="s">
        <v>94</v>
      </c>
      <c r="K13">
        <v>2</v>
      </c>
      <c r="N13" s="45">
        <f>SUM(N3:N7)/N2</f>
        <v>0.24504716981132074</v>
      </c>
      <c r="O13" t="s">
        <v>84</v>
      </c>
    </row>
    <row r="14" spans="1:20" x14ac:dyDescent="0.3">
      <c r="A14" s="2">
        <f t="shared" si="3"/>
        <v>13</v>
      </c>
      <c r="B14" s="1" t="s">
        <v>27</v>
      </c>
      <c r="N14" s="45">
        <f>SUM(N3:N4,N6:N7)/N2</f>
        <v>3.1367924528301887E-2</v>
      </c>
      <c r="O14" t="s">
        <v>83</v>
      </c>
    </row>
    <row r="15" spans="1:20" x14ac:dyDescent="0.3">
      <c r="A15" s="2">
        <f t="shared" si="3"/>
        <v>0</v>
      </c>
      <c r="B15" s="1" t="s">
        <v>80</v>
      </c>
    </row>
    <row r="16" spans="1:20" x14ac:dyDescent="0.3">
      <c r="A16" s="2">
        <f t="shared" si="3"/>
        <v>114</v>
      </c>
      <c r="B16" s="1" t="s">
        <v>63</v>
      </c>
    </row>
    <row r="17" spans="1:12" x14ac:dyDescent="0.3">
      <c r="A17" s="2">
        <f t="shared" si="3"/>
        <v>0</v>
      </c>
      <c r="B17" s="1" t="s">
        <v>53</v>
      </c>
      <c r="I17" s="38" t="s">
        <v>6</v>
      </c>
      <c r="J17">
        <f>N3</f>
        <v>24.5</v>
      </c>
      <c r="L17" s="46"/>
    </row>
    <row r="18" spans="1:12" x14ac:dyDescent="0.3">
      <c r="A18" s="2">
        <f>SUM(A11:A17)</f>
        <v>633.5</v>
      </c>
      <c r="B18" s="1" t="s">
        <v>12</v>
      </c>
      <c r="C18">
        <f>ROUND(A18/2000,2)</f>
        <v>0.32</v>
      </c>
      <c r="I18" s="38" t="s">
        <v>28</v>
      </c>
      <c r="J18">
        <f t="shared" ref="J18:J20" si="5">N4</f>
        <v>29</v>
      </c>
    </row>
    <row r="19" spans="1:12" x14ac:dyDescent="0.3">
      <c r="A19" s="2">
        <f>A10-A18</f>
        <v>1486.5</v>
      </c>
      <c r="B19" s="1" t="s">
        <v>54</v>
      </c>
      <c r="I19" s="38" t="s">
        <v>25</v>
      </c>
      <c r="J19">
        <f t="shared" si="5"/>
        <v>453</v>
      </c>
    </row>
    <row r="20" spans="1:12" x14ac:dyDescent="0.3">
      <c r="A20" s="2"/>
      <c r="B20" s="1" t="s">
        <v>55</v>
      </c>
      <c r="I20" s="38" t="s">
        <v>27</v>
      </c>
      <c r="J20">
        <f t="shared" si="5"/>
        <v>13</v>
      </c>
    </row>
    <row r="21" spans="1:12" x14ac:dyDescent="0.3">
      <c r="A21" s="2"/>
      <c r="B21" s="1" t="s">
        <v>56</v>
      </c>
      <c r="I21" s="38" t="s">
        <v>63</v>
      </c>
      <c r="J21">
        <f>N8</f>
        <v>114</v>
      </c>
    </row>
    <row r="22" spans="1:12" x14ac:dyDescent="0.3">
      <c r="A22" s="2">
        <f>SUM(A19:A21)</f>
        <v>1486.5</v>
      </c>
      <c r="B22" s="1" t="s">
        <v>11</v>
      </c>
      <c r="C22">
        <f>ROUND(A22/2000,2)</f>
        <v>0.74</v>
      </c>
      <c r="I22" s="38" t="s">
        <v>54</v>
      </c>
      <c r="J22" s="33">
        <f>N11</f>
        <v>1486.5</v>
      </c>
    </row>
    <row r="23" spans="1:12" x14ac:dyDescent="0.3">
      <c r="A23" s="3">
        <f>A18/A8</f>
        <v>0.29882075471698111</v>
      </c>
      <c r="B23" s="1" t="s">
        <v>13</v>
      </c>
      <c r="I23" s="38"/>
    </row>
    <row r="24" spans="1:12" x14ac:dyDescent="0.3">
      <c r="B24" s="1"/>
    </row>
    <row r="25" spans="1:12" x14ac:dyDescent="0.3">
      <c r="A25" s="2"/>
      <c r="B25" s="1" t="s">
        <v>18</v>
      </c>
    </row>
    <row r="26" spans="1:12" x14ac:dyDescent="0.3">
      <c r="A26" s="11" t="s">
        <v>71</v>
      </c>
    </row>
    <row r="27" spans="1:12" x14ac:dyDescent="0.3">
      <c r="B27" s="1" t="s">
        <v>6</v>
      </c>
      <c r="C27" s="2">
        <f>N3</f>
        <v>24.5</v>
      </c>
    </row>
    <row r="28" spans="1:12" x14ac:dyDescent="0.3">
      <c r="B28" s="1" t="s">
        <v>28</v>
      </c>
      <c r="C28" s="2">
        <f t="shared" ref="C28:C32" si="6">N4</f>
        <v>29</v>
      </c>
    </row>
    <row r="29" spans="1:12" x14ac:dyDescent="0.3">
      <c r="B29" s="1" t="s">
        <v>25</v>
      </c>
      <c r="C29" s="2">
        <f t="shared" si="6"/>
        <v>453</v>
      </c>
    </row>
    <row r="30" spans="1:12" x14ac:dyDescent="0.3">
      <c r="B30" s="1" t="s">
        <v>27</v>
      </c>
      <c r="C30" s="2">
        <f t="shared" si="6"/>
        <v>13</v>
      </c>
    </row>
    <row r="31" spans="1:12" x14ac:dyDescent="0.3">
      <c r="B31" s="1" t="s">
        <v>80</v>
      </c>
      <c r="C31" s="2">
        <f t="shared" si="6"/>
        <v>0</v>
      </c>
    </row>
    <row r="32" spans="1:12" x14ac:dyDescent="0.3">
      <c r="B32" s="1" t="s">
        <v>63</v>
      </c>
      <c r="C32" s="2">
        <f t="shared" si="6"/>
        <v>114</v>
      </c>
    </row>
    <row r="33" spans="2:5" x14ac:dyDescent="0.3">
      <c r="B33" s="1" t="s">
        <v>54</v>
      </c>
      <c r="C33" s="2">
        <f>N11</f>
        <v>1486.5</v>
      </c>
      <c r="E33" s="26"/>
    </row>
    <row r="35" spans="2:5" x14ac:dyDescent="0.3">
      <c r="B35" s="1" t="s">
        <v>72</v>
      </c>
      <c r="C35" s="33">
        <f>A18</f>
        <v>633.5</v>
      </c>
    </row>
    <row r="36" spans="2:5" x14ac:dyDescent="0.3">
      <c r="B36" s="1" t="s">
        <v>54</v>
      </c>
      <c r="C36" s="33">
        <f>A19</f>
        <v>1486.5</v>
      </c>
    </row>
    <row r="38" spans="2:5" x14ac:dyDescent="0.3">
      <c r="B38" s="34" t="s">
        <v>31</v>
      </c>
    </row>
    <row r="39" spans="2:5" x14ac:dyDescent="0.3">
      <c r="B39" s="1" t="s">
        <v>6</v>
      </c>
      <c r="C39" s="2"/>
    </row>
    <row r="40" spans="2:5" x14ac:dyDescent="0.3">
      <c r="B40" s="1" t="s">
        <v>28</v>
      </c>
      <c r="C40" s="2"/>
    </row>
    <row r="41" spans="2:5" x14ac:dyDescent="0.3">
      <c r="B41" s="1" t="s">
        <v>25</v>
      </c>
      <c r="C41" s="2"/>
    </row>
    <row r="42" spans="2:5" x14ac:dyDescent="0.3">
      <c r="B42" s="1" t="s">
        <v>27</v>
      </c>
      <c r="C42" s="2"/>
    </row>
    <row r="43" spans="2:5" x14ac:dyDescent="0.3">
      <c r="B43" s="1" t="s">
        <v>54</v>
      </c>
      <c r="C43" s="2"/>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SummaryAllYears</vt:lpstr>
      <vt:lpstr>TonsPerParkByYear</vt:lpstr>
      <vt:lpstr>Delivd2KB</vt:lpstr>
      <vt:lpstr>MatlCollected</vt:lpstr>
      <vt:lpstr>2025 Summary</vt:lpstr>
      <vt:lpstr>2024 Summ</vt:lpstr>
      <vt:lpstr>2023 Summ</vt:lpstr>
      <vt:lpstr>2022 Summ</vt:lpstr>
      <vt:lpstr>2021 Summ</vt:lpstr>
      <vt:lpstr>2019 Summ</vt:lpstr>
      <vt:lpstr>2018 Summ</vt:lpstr>
      <vt:lpstr>2017 Summ</vt:lpstr>
      <vt:lpstr>2016 Summ</vt:lpstr>
      <vt:lpstr>2015 Summ</vt:lpstr>
      <vt:lpstr>2014 Summ</vt:lpstr>
      <vt:lpstr>Sheet2</vt:lpstr>
      <vt:lpstr>2013 Summ </vt:lpstr>
      <vt:lpstr>2012 Summ</vt:lpstr>
      <vt:lpstr>2011 Summ</vt:lpstr>
    </vt:vector>
  </TitlesOfParts>
  <Company>Clackamas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rickwin</dc:creator>
  <cp:lastModifiedBy>Johnston, Colleen</cp:lastModifiedBy>
  <cp:lastPrinted>2025-10-06T18:45:28Z</cp:lastPrinted>
  <dcterms:created xsi:type="dcterms:W3CDTF">2011-09-14T15:42:45Z</dcterms:created>
  <dcterms:modified xsi:type="dcterms:W3CDTF">2025-10-06T19:00:24Z</dcterms:modified>
</cp:coreProperties>
</file>